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yal Elite" sheetId="1" r:id="rId4"/>
    <sheet state="visible" name="Investor Club" sheetId="2" r:id="rId5"/>
    <sheet state="hidden" name="Graphs" sheetId="3" r:id="rId6"/>
    <sheet state="hidden" name="Tax Strategies" sheetId="4" r:id="rId7"/>
    <sheet state="hidden" name="Royal Wealth" sheetId="5" r:id="rId8"/>
    <sheet state="hidden" name="Actuals" sheetId="6" r:id="rId9"/>
    <sheet state="hidden" name="Estimate" sheetId="7" r:id="rId10"/>
    <sheet state="hidden" name="Syndications" sheetId="8" r:id="rId11"/>
  </sheets>
  <definedNames>
    <definedName name="_Table2_In1">#REF!</definedName>
    <definedName name="aaaaaa">#REF!</definedName>
    <definedName name="_Table2_In2">#REF!</definedName>
    <definedName name="_Key5">#REF!</definedName>
    <definedName name="a">#REF!</definedName>
    <definedName name="_Key8">#REF!</definedName>
    <definedName name="BadLink">#REF!</definedName>
    <definedName localSheetId="6" name="FederalTaxTable">Estimate!$D$3:$G$9</definedName>
    <definedName localSheetId="7" name="AGI">Syndications!$B$3</definedName>
    <definedName name="Table_3out">#REF!</definedName>
    <definedName name="_Key6">#REF!</definedName>
    <definedName name="_Key9">#REF!</definedName>
    <definedName name="FederalTaxTable">Actuals!$D$3:$G$9</definedName>
    <definedName localSheetId="7" name="TaxableIncome">Syndications!$B$4</definedName>
    <definedName name="_Fill">#REF!</definedName>
    <definedName name="_Key1">#REF!</definedName>
    <definedName localSheetId="7" name="FederalTaxTable">Syndications!$D$3:$G$9</definedName>
    <definedName localSheetId="6" name="TaxableIncome">Estimate!$B$4</definedName>
    <definedName name="_Sort">#REF!</definedName>
    <definedName name="_Key2">#REF!</definedName>
    <definedName name="TaxableIncome">Actuals!$B$4</definedName>
    <definedName localSheetId="6" name="AGI">Estimate!$B$3</definedName>
    <definedName name="AGI">Actuals!$B$3</definedName>
    <definedName name="_Fil1">#REF!</definedName>
  </definedNames>
  <calcPr/>
</workbook>
</file>

<file path=xl/sharedStrings.xml><?xml version="1.0" encoding="utf-8"?>
<sst xmlns="http://schemas.openxmlformats.org/spreadsheetml/2006/main" count="332" uniqueCount="196">
  <si>
    <t>Royal Elite</t>
  </si>
  <si>
    <t>Model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</si>
  <si>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</si>
  <si>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</si>
  <si>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</si>
  <si>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</si>
  <si>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</si>
  <si>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</si>
  <si>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</si>
  <si>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</si>
  <si>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</si>
  <si>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10 Year</t>
  </si>
  <si>
    <t>11 Year</t>
  </si>
  <si>
    <t>12 Year</t>
  </si>
  <si>
    <t>13 Year</t>
  </si>
  <si>
    <t>14 Year</t>
  </si>
  <si>
    <t>15 Year</t>
  </si>
  <si>
    <t>16 Year</t>
  </si>
  <si>
    <t>17 Year</t>
  </si>
  <si>
    <t>18 Year</t>
  </si>
  <si>
    <t>19 Year</t>
  </si>
  <si>
    <t>20 Year</t>
  </si>
  <si>
    <t>Income</t>
  </si>
  <si>
    <t>Bracket</t>
  </si>
  <si>
    <t>Tax</t>
  </si>
  <si>
    <t>Tax Savings</t>
  </si>
  <si>
    <t>Reinvested Tax ROI</t>
  </si>
  <si>
    <t>Investor Club</t>
  </si>
  <si>
    <t>Your Deal</t>
  </si>
  <si>
    <t>Real Estate</t>
  </si>
  <si>
    <t>Cashflow</t>
  </si>
  <si>
    <t>Investment</t>
  </si>
  <si>
    <t>How much do you want to invest?</t>
  </si>
  <si>
    <t>Tax Bracket</t>
  </si>
  <si>
    <t>Cashflow %</t>
  </si>
  <si>
    <t>IRR %</t>
  </si>
  <si>
    <t>Tax Benefit</t>
  </si>
  <si>
    <t>Row 7 shows how much cash you are expected to receive each year.</t>
  </si>
  <si>
    <t>IRR / Equity</t>
  </si>
  <si>
    <t>Row 8 shows how much cash profit you are expected to receive at the end of the hold period / sale of the property.</t>
  </si>
  <si>
    <t>Row 9 shows how much cash you will receive from tax depreciation.</t>
  </si>
  <si>
    <t>5 Year ROI</t>
  </si>
  <si>
    <t>Tax Savings Growth</t>
  </si>
  <si>
    <t>Tax Savings Motivated</t>
  </si>
  <si>
    <t>Taxes Paid</t>
  </si>
  <si>
    <t>Royal Elite Tax Savings</t>
  </si>
  <si>
    <t>Investment Return</t>
  </si>
  <si>
    <t xml:space="preserve">Maybe use what they are averaging? Then in the meeting with me show them how they can do more? </t>
  </si>
  <si>
    <t>Tax Savings T&amp;P</t>
  </si>
  <si>
    <t>Check with Scott</t>
  </si>
  <si>
    <t>Royal Elite Additional Costs</t>
  </si>
  <si>
    <t>Year</t>
  </si>
  <si>
    <t>Royal Elite Costs</t>
  </si>
  <si>
    <t>Accumulated Tax Savings</t>
  </si>
  <si>
    <t>Investment Loss</t>
  </si>
  <si>
    <t>FV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</si>
  <si>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</si>
  <si>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</si>
  <si>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</si>
  <si>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</si>
  <si>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</si>
  <si>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</si>
  <si>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</si>
  <si>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</si>
  <si>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</si>
  <si>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</si>
  <si>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</si>
  <si>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</si>
  <si>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</si>
  <si>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</si>
  <si>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</si>
  <si>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</si>
  <si>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</si>
  <si>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</si>
  <si>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</si>
  <si>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</si>
  <si>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Filing Status</t>
  </si>
  <si>
    <t>Single</t>
  </si>
  <si>
    <t>REP Status</t>
  </si>
  <si>
    <t>No</t>
  </si>
  <si>
    <t>REP = Real Estate Professional</t>
  </si>
  <si>
    <t>2022A</t>
  </si>
  <si>
    <t>2022E</t>
  </si>
  <si>
    <t>A = Actuals / E = Estimate</t>
  </si>
  <si>
    <t>W-2 Income - Company</t>
  </si>
  <si>
    <t>This is Box 1 from W-2</t>
  </si>
  <si>
    <t>W-2 Income - S-Corp</t>
  </si>
  <si>
    <t>W-2 Income</t>
  </si>
  <si>
    <t>W-2 Total</t>
  </si>
  <si>
    <t>This should match line 1a on tax return</t>
  </si>
  <si>
    <t>Schedule C 1040</t>
  </si>
  <si>
    <t>Self Employment Total</t>
  </si>
  <si>
    <t>This is Schedule C income, Schedule 1, Line 3</t>
  </si>
  <si>
    <t>S-Corp (1120S)</t>
  </si>
  <si>
    <t>Switching to taxed as S-Corp, will require W-2. This is profit share, no Self Employment Tax = Tax Savings</t>
  </si>
  <si>
    <t>S-Corp Total</t>
  </si>
  <si>
    <t>Schedule E Page 2 - Listed as S</t>
  </si>
  <si>
    <t>Partnership (1065)</t>
  </si>
  <si>
    <t>Partnership Total</t>
  </si>
  <si>
    <t>Schedule E Page 2 listed as P, could be Passive and not a deduction.</t>
  </si>
  <si>
    <t>Interest</t>
  </si>
  <si>
    <t>Line 2b</t>
  </si>
  <si>
    <t>Dividends</t>
  </si>
  <si>
    <t>Line 3b</t>
  </si>
  <si>
    <t>Schedule D - Gains</t>
  </si>
  <si>
    <t>Line 7</t>
  </si>
  <si>
    <t>Other Income</t>
  </si>
  <si>
    <t>Schedule 1 Total - 1040 Schedule C - Schedule E</t>
  </si>
  <si>
    <t>Rental Income</t>
  </si>
  <si>
    <t>Schedule E Page 1 total, if negative leave as zero, unless REP.</t>
  </si>
  <si>
    <t>Misc. Total</t>
  </si>
  <si>
    <t>Comparison</t>
  </si>
  <si>
    <t>Total Income</t>
  </si>
  <si>
    <t>Deductions</t>
  </si>
  <si>
    <t>Standard/Itemized Deduction</t>
  </si>
  <si>
    <t>Take from tax return line 12, if standard, the 501c3 will overstate, but will be close</t>
  </si>
  <si>
    <t>QBID (20%)</t>
  </si>
  <si>
    <t>Formula</t>
  </si>
  <si>
    <t>Amount to donate</t>
  </si>
  <si>
    <t>Private Foundation - 501(c)3</t>
  </si>
  <si>
    <t>Enter percent, max is up to 30%</t>
  </si>
  <si>
    <t>Solo 401(k) - Employee</t>
  </si>
  <si>
    <t>Enter amount they tell you, max for 2023 is 22,500 &lt; 50, 30,000 over 50</t>
  </si>
  <si>
    <t>Contribution</t>
  </si>
  <si>
    <t>Solo 401(k) - Employer</t>
  </si>
  <si>
    <t>Take W-2 of S-Corp times .25</t>
  </si>
  <si>
    <t>Deductions Total</t>
  </si>
  <si>
    <t>Taxable Income</t>
  </si>
  <si>
    <t>Income Tax</t>
  </si>
  <si>
    <t>Total Federal Taxes</t>
  </si>
  <si>
    <t>Effective Federal Tax Rate</t>
  </si>
  <si>
    <t>Tax Savings*</t>
  </si>
  <si>
    <t>Royal Wealth Tax Savings</t>
  </si>
  <si>
    <t>Syndication Tax Depreciation</t>
  </si>
  <si>
    <t>Tax Strategy</t>
  </si>
  <si>
    <t>Blended Cash Return</t>
  </si>
  <si>
    <t>Net Cash Flow</t>
  </si>
  <si>
    <t>Net Worth</t>
  </si>
  <si>
    <t>Tax Rate</t>
  </si>
  <si>
    <t>Cash Value</t>
  </si>
  <si>
    <t>Annual IRR</t>
  </si>
  <si>
    <t>ROYAL ELITE ROI</t>
  </si>
  <si>
    <t>5 years</t>
  </si>
  <si>
    <t>20 years</t>
  </si>
  <si>
    <t xml:space="preserve">Royal Elite </t>
  </si>
  <si>
    <t>Membership Fee</t>
  </si>
  <si>
    <t>Royal Wealth</t>
  </si>
  <si>
    <t>Managed Money</t>
  </si>
  <si>
    <t>Effective Tax Rate</t>
  </si>
  <si>
    <t>Investment Type</t>
  </si>
  <si>
    <t>Amount Invested</t>
  </si>
  <si>
    <t>Cash Flow</t>
  </si>
  <si>
    <t>Appreciation</t>
  </si>
  <si>
    <t>Bonus Depreciation</t>
  </si>
  <si>
    <t>Investment Period</t>
  </si>
  <si>
    <t>Cash Fow</t>
  </si>
  <si>
    <t>Life Style</t>
  </si>
  <si>
    <t>Debt and Liquidty</t>
  </si>
  <si>
    <t>Inv 3</t>
  </si>
  <si>
    <t>Bonus Dep</t>
  </si>
  <si>
    <t>Tax Deductions</t>
  </si>
  <si>
    <t>Inv 4</t>
  </si>
  <si>
    <t>Cash Return on Portfolio</t>
  </si>
  <si>
    <t>Depreciation Offset</t>
  </si>
  <si>
    <t>Cash Value of Depreciation</t>
  </si>
  <si>
    <t>Cash flow</t>
  </si>
  <si>
    <t>This is locked in based on year of invest tax rate</t>
  </si>
  <si>
    <t>Tax Savings Depr.</t>
  </si>
  <si>
    <t>Net Worth Increase</t>
  </si>
  <si>
    <t>YEAR 5</t>
  </si>
  <si>
    <t>Percent Return</t>
  </si>
  <si>
    <t>Real Estate II</t>
  </si>
  <si>
    <t>Cash - CD</t>
  </si>
  <si>
    <t>Potential Tax Savings</t>
  </si>
  <si>
    <t>YEAR 10</t>
  </si>
  <si>
    <t>Real Estate III</t>
  </si>
  <si>
    <t>Floor</t>
  </si>
  <si>
    <t>Tax Bracket growth</t>
  </si>
  <si>
    <t>Married Filing Jointly</t>
  </si>
  <si>
    <t>Estimated Income</t>
  </si>
  <si>
    <t>Min</t>
  </si>
  <si>
    <t>Max</t>
  </si>
  <si>
    <t>Adjusted Gross Income (AGI)</t>
  </si>
  <si>
    <t>Head of Household</t>
  </si>
  <si>
    <t>Taxable Income - Federal</t>
  </si>
  <si>
    <t>Federal Tax</t>
  </si>
  <si>
    <t>Yes</t>
  </si>
  <si>
    <t>Social Security</t>
  </si>
  <si>
    <t>Medicare</t>
  </si>
  <si>
    <t>Total Tax</t>
  </si>
  <si>
    <t>Self Employment Tax Calculator Inputs</t>
  </si>
  <si>
    <t>Max $</t>
  </si>
  <si>
    <t>Max SE Tax</t>
  </si>
  <si>
    <t>Effective Fed Tax %</t>
  </si>
  <si>
    <t>MFJ</t>
  </si>
  <si>
    <t>HOH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</si>
</sst>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$&quot;#,##0"/>
    <numFmt numFmtId="165" formatCode="_(* #,##0_);_(* \(#,##0\);_(* &quot;-&quot;??_);_(@_)"/>
    <numFmt numFmtId="166" formatCode="_(* #,##0.00_);_(* \(#,##0.00\);_(* &quot;-&quot;??_);_(@_)"/>
    <numFmt numFmtId="167" formatCode="#,##0.0"/>
    <numFmt numFmtId="168" formatCode="&quot;$&quot;#,##0_);[Red]\(&quot;$&quot;#,##0\)"/>
    <numFmt numFmtId="169" formatCode="_-&quot;$&quot;* #,##0.00_-;\-&quot;$&quot;* #,##0.00_-;_-&quot;$&quot;* &quot;-&quot;??_-;_-@"/>
    <numFmt numFmtId="170" formatCode="0.0%"/>
  </numFmts>
  <fonts count="29">
    <font>
      <sz val="11.0"/>
      <color theme="1"/>
      <name val="Calibri"/>
      <scheme val="minor"/>
    </font>
    <font>
      <sz val="16.0"/>
      <color theme="1"/>
      <name val="Calibri"/>
    </font>
    <font>
      <b/>
      <sz val="16.0"/>
      <color theme="1"/>
      <name val="Calibri"/>
    </font>
    <font>
      <i/>
      <sz val="14.0"/>
      <color rgb="FF999999"/>
      <name val="Calibri"/>
    </font>
    <font>
      <i/>
      <sz val="14.0"/>
      <color rgb="FF999999"/>
      <name val="Calibri"/>
      <scheme val="minor"/>
    </font>
    <font>
      <sz val="16.0"/>
      <color rgb="FFE06666"/>
      <name val="Calibri"/>
    </font>
    <font>
      <sz val="16.0"/>
      <color rgb="FFF1C232"/>
      <name val="Calibri"/>
    </font>
    <font>
      <sz val="16.0"/>
      <color rgb="FF6AA84F"/>
      <name val="Calibri"/>
    </font>
    <font>
      <i/>
      <sz val="10.0"/>
      <color rgb="FF999999"/>
      <name val="Calibri"/>
    </font>
    <font>
      <color theme="1"/>
      <name val="Calibri"/>
    </font>
    <font/>
    <font>
      <sz val="14.0"/>
      <color theme="1"/>
      <name val="Calibri"/>
    </font>
    <font>
      <b/>
      <sz val="16.0"/>
      <color theme="9"/>
      <name val="Calibri"/>
    </font>
    <font>
      <color rgb="FFFF0000"/>
      <name val="Calibri"/>
    </font>
    <font>
      <sz val="11.0"/>
      <color theme="1"/>
      <name val="Calibri"/>
    </font>
    <font>
      <b/>
      <sz val="14.0"/>
      <color theme="0"/>
      <name val="Calibri"/>
    </font>
    <font>
      <sz val="11.0"/>
      <color rgb="FF446CCD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sz val="18.0"/>
      <color theme="1"/>
      <name val="Calibri"/>
    </font>
    <font>
      <b/>
      <sz val="18.0"/>
      <color rgb="FFC5E0B3"/>
      <name val="Calibri"/>
    </font>
    <font>
      <b/>
      <color theme="1"/>
      <name val="Calibri"/>
    </font>
    <font>
      <b/>
      <sz val="48.0"/>
      <color theme="0"/>
      <name val="Calibri"/>
    </font>
    <font>
      <b/>
      <sz val="14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i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309FDB"/>
        <bgColor rgb="FF309FDB"/>
      </patternFill>
    </fill>
    <fill>
      <patternFill patternType="solid">
        <fgColor rgb="FFECECEC"/>
        <bgColor rgb="FFECECEC"/>
      </patternFill>
    </fill>
    <fill>
      <patternFill patternType="solid">
        <fgColor rgb="FFC8C8C8"/>
        <bgColor rgb="FFC8C8C8"/>
      </patternFill>
    </fill>
  </fills>
  <borders count="1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1" fillId="2" fontId="1" numFmtId="164" xfId="0" applyAlignment="1" applyBorder="1" applyFill="1" applyFont="1" applyNumberFormat="1">
      <alignment horizontal="center" readingOrder="0"/>
    </xf>
    <xf borderId="1" fillId="0" fontId="1" numFmtId="164" xfId="0" applyAlignment="1" applyBorder="1" applyFont="1" applyNumberFormat="1">
      <alignment horizontal="center"/>
    </xf>
    <xf borderId="1" fillId="0" fontId="3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2" fontId="1" numFmtId="9" xfId="0" applyAlignment="1" applyBorder="1" applyFont="1" applyNumberFormat="1">
      <alignment horizontal="center" readingOrder="0"/>
    </xf>
    <xf borderId="1" fillId="0" fontId="1" numFmtId="9" xfId="0" applyAlignment="1" applyBorder="1" applyFont="1" applyNumberFormat="1">
      <alignment horizontal="center"/>
    </xf>
    <xf borderId="1" fillId="0" fontId="4" numFmtId="0" xfId="0" applyBorder="1" applyFont="1"/>
    <xf borderId="1" fillId="2" fontId="5" numFmtId="164" xfId="0" applyAlignment="1" applyBorder="1" applyFont="1" applyNumberFormat="1">
      <alignment horizontal="center" readingOrder="0"/>
    </xf>
    <xf borderId="1" fillId="0" fontId="5" numFmtId="164" xfId="0" applyAlignment="1" applyBorder="1" applyFont="1" applyNumberFormat="1">
      <alignment horizontal="center"/>
    </xf>
    <xf borderId="1" fillId="0" fontId="6" numFmtId="164" xfId="0" applyAlignment="1" applyBorder="1" applyFont="1" applyNumberFormat="1">
      <alignment horizontal="center"/>
    </xf>
    <xf borderId="1" fillId="0" fontId="1" numFmtId="0" xfId="0" applyAlignment="1" applyBorder="1" applyFont="1">
      <alignment horizontal="left" readingOrder="0"/>
    </xf>
    <xf borderId="1" fillId="0" fontId="1" numFmtId="9" xfId="0" applyAlignment="1" applyBorder="1" applyFont="1" applyNumberFormat="1">
      <alignment horizontal="center" readingOrder="0"/>
    </xf>
    <xf borderId="1" fillId="0" fontId="7" numFmtId="164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readingOrder="0"/>
    </xf>
    <xf borderId="1" fillId="0" fontId="8" numFmtId="0" xfId="0" applyAlignment="1" applyBorder="1" applyFont="1">
      <alignment vertical="top"/>
    </xf>
    <xf borderId="1" fillId="0" fontId="1" numFmtId="0" xfId="0" applyAlignment="1" applyBorder="1" applyFont="1">
      <alignment horizontal="center"/>
    </xf>
    <xf borderId="1" fillId="0" fontId="1" numFmtId="164" xfId="0" applyBorder="1" applyFont="1" applyNumberFormat="1"/>
    <xf borderId="1" fillId="0" fontId="9" numFmtId="0" xfId="0" applyAlignment="1" applyBorder="1" applyFont="1">
      <alignment horizontal="center"/>
    </xf>
    <xf borderId="1" fillId="0" fontId="9" numFmtId="0" xfId="0" applyBorder="1" applyFont="1"/>
    <xf borderId="1" fillId="0" fontId="2" numFmtId="0" xfId="0" applyBorder="1" applyFont="1"/>
    <xf borderId="2" fillId="2" fontId="1" numFmtId="164" xfId="0" applyAlignment="1" applyBorder="1" applyFont="1" applyNumberFormat="1">
      <alignment horizontal="center" readingOrder="0"/>
    </xf>
    <xf borderId="3" fillId="0" fontId="10" numFmtId="0" xfId="0" applyBorder="1" applyFont="1"/>
    <xf borderId="4" fillId="0" fontId="10" numFmtId="0" xfId="0" applyBorder="1" applyFont="1"/>
    <xf borderId="1" fillId="0" fontId="3" numFmtId="0" xfId="0" applyBorder="1" applyFont="1"/>
    <xf borderId="1" fillId="0" fontId="9" numFmtId="0" xfId="0" applyAlignment="1" applyBorder="1" applyFont="1">
      <alignment horizontal="left"/>
    </xf>
    <xf borderId="2" fillId="2" fontId="1" numFmtId="9" xfId="0" applyAlignment="1" applyBorder="1" applyFont="1" applyNumberFormat="1">
      <alignment horizontal="center"/>
    </xf>
    <xf borderId="1" fillId="0" fontId="11" numFmtId="0" xfId="0" applyBorder="1" applyFont="1"/>
    <xf borderId="1" fillId="0" fontId="1" numFmtId="164" xfId="0" applyAlignment="1" applyBorder="1" applyFont="1" applyNumberFormat="1">
      <alignment horizontal="center"/>
    </xf>
    <xf borderId="1" fillId="0" fontId="12" numFmtId="164" xfId="0" applyAlignment="1" applyBorder="1" applyFont="1" applyNumberFormat="1">
      <alignment horizontal="center"/>
    </xf>
    <xf borderId="1" fillId="0" fontId="13" numFmtId="0" xfId="0" applyBorder="1" applyFont="1"/>
    <xf borderId="0" fillId="0" fontId="14" numFmtId="0" xfId="0" applyFont="1"/>
    <xf borderId="0" fillId="0" fontId="14" numFmtId="10" xfId="0" applyFont="1" applyNumberFormat="1"/>
    <xf borderId="0" fillId="0" fontId="14" numFmtId="165" xfId="0" applyFont="1" applyNumberFormat="1"/>
    <xf borderId="5" fillId="3" fontId="14" numFmtId="0" xfId="0" applyBorder="1" applyFill="1" applyFont="1"/>
    <xf borderId="0" fillId="0" fontId="14" numFmtId="0" xfId="0" applyAlignment="1" applyFont="1">
      <alignment horizontal="center"/>
    </xf>
    <xf borderId="5" fillId="4" fontId="14" numFmtId="0" xfId="0" applyAlignment="1" applyBorder="1" applyFill="1" applyFont="1">
      <alignment horizontal="center"/>
    </xf>
    <xf borderId="5" fillId="4" fontId="14" numFmtId="165" xfId="0" applyBorder="1" applyFont="1" applyNumberFormat="1"/>
    <xf borderId="0" fillId="0" fontId="14" numFmtId="0" xfId="0" applyAlignment="1" applyFont="1">
      <alignment horizontal="left"/>
    </xf>
    <xf borderId="1" fillId="5" fontId="15" numFmtId="0" xfId="0" applyAlignment="1" applyBorder="1" applyFill="1" applyFont="1">
      <alignment shrinkToFit="0" wrapText="1"/>
    </xf>
    <xf borderId="1" fillId="5" fontId="9" numFmtId="0" xfId="0" applyBorder="1" applyFont="1"/>
    <xf borderId="1" fillId="5" fontId="9" numFmtId="0" xfId="0" applyAlignment="1" applyBorder="1" applyFont="1">
      <alignment horizontal="right"/>
    </xf>
    <xf borderId="1" fillId="5" fontId="14" numFmtId="0" xfId="0" applyAlignment="1" applyBorder="1" applyFont="1">
      <alignment horizontal="right"/>
    </xf>
    <xf borderId="1" fillId="5" fontId="14" numFmtId="0" xfId="0" applyBorder="1" applyFont="1"/>
    <xf borderId="1" fillId="5" fontId="15" numFmtId="0" xfId="0" applyBorder="1" applyFont="1"/>
    <xf borderId="1" fillId="5" fontId="15" numFmtId="0" xfId="0" applyAlignment="1" applyBorder="1" applyFont="1">
      <alignment horizontal="center" shrinkToFit="0" wrapText="1"/>
    </xf>
    <xf borderId="1" fillId="5" fontId="15" numFmtId="0" xfId="0" applyAlignment="1" applyBorder="1" applyFont="1">
      <alignment horizontal="right" shrinkToFit="0" wrapText="1"/>
    </xf>
    <xf borderId="1" fillId="5" fontId="16" numFmtId="165" xfId="0" applyBorder="1" applyFont="1" applyNumberFormat="1"/>
    <xf borderId="1" fillId="5" fontId="16" numFmtId="0" xfId="0" applyBorder="1" applyFont="1"/>
    <xf borderId="1" fillId="5" fontId="16" numFmtId="165" xfId="0" applyAlignment="1" applyBorder="1" applyFont="1" applyNumberFormat="1">
      <alignment horizontal="right"/>
    </xf>
    <xf borderId="1" fillId="5" fontId="17" numFmtId="0" xfId="0" applyAlignment="1" applyBorder="1" applyFont="1">
      <alignment horizontal="right" shrinkToFit="0" wrapText="1"/>
    </xf>
    <xf borderId="1" fillId="5" fontId="17" numFmtId="0" xfId="0" applyAlignment="1" applyBorder="1" applyFont="1">
      <alignment horizontal="center" shrinkToFit="0" wrapText="1"/>
    </xf>
    <xf borderId="1" fillId="5" fontId="17" numFmtId="165" xfId="0" applyAlignment="1" applyBorder="1" applyFont="1" applyNumberFormat="1">
      <alignment horizontal="center" shrinkToFit="0" wrapText="1"/>
    </xf>
    <xf borderId="1" fillId="5" fontId="17" numFmtId="165" xfId="0" applyAlignment="1" applyBorder="1" applyFont="1" applyNumberFormat="1">
      <alignment horizontal="right" shrinkToFit="0" wrapText="1"/>
    </xf>
    <xf borderId="1" fillId="5" fontId="18" numFmtId="0" xfId="0" applyAlignment="1" applyBorder="1" applyFont="1">
      <alignment horizontal="right"/>
    </xf>
    <xf borderId="1" fillId="5" fontId="18" numFmtId="0" xfId="0" applyBorder="1" applyFont="1"/>
    <xf borderId="1" fillId="5" fontId="14" numFmtId="165" xfId="0" applyBorder="1" applyFont="1" applyNumberFormat="1"/>
    <xf borderId="1" fillId="5" fontId="14" numFmtId="165" xfId="0" applyAlignment="1" applyBorder="1" applyFont="1" applyNumberFormat="1">
      <alignment horizontal="right"/>
    </xf>
    <xf borderId="1" fillId="5" fontId="14" numFmtId="0" xfId="0" applyAlignment="1" applyBorder="1" applyFont="1">
      <alignment horizontal="left"/>
    </xf>
    <xf borderId="1" fillId="5" fontId="1" numFmtId="0" xfId="0" applyBorder="1" applyFont="1"/>
    <xf borderId="1" fillId="5" fontId="1" numFmtId="165" xfId="0" applyBorder="1" applyFont="1" applyNumberFormat="1"/>
    <xf borderId="1" fillId="5" fontId="2" numFmtId="164" xfId="0" applyAlignment="1" applyBorder="1" applyFont="1" applyNumberFormat="1">
      <alignment horizontal="right"/>
    </xf>
    <xf borderId="1" fillId="5" fontId="2" numFmtId="0" xfId="0" applyBorder="1" applyFont="1"/>
    <xf borderId="1" fillId="5" fontId="1" numFmtId="164" xfId="0" applyAlignment="1" applyBorder="1" applyFont="1" applyNumberFormat="1">
      <alignment horizontal="right"/>
    </xf>
    <xf borderId="1" fillId="5" fontId="1" numFmtId="165" xfId="0" applyAlignment="1" applyBorder="1" applyFont="1" applyNumberFormat="1">
      <alignment horizontal="right"/>
    </xf>
    <xf borderId="1" fillId="5" fontId="1" numFmtId="0" xfId="0" applyAlignment="1" applyBorder="1" applyFont="1">
      <alignment horizontal="right"/>
    </xf>
    <xf borderId="1" fillId="5" fontId="9" numFmtId="9" xfId="0" applyBorder="1" applyFont="1" applyNumberFormat="1"/>
    <xf borderId="1" fillId="5" fontId="14" numFmtId="166" xfId="0" applyBorder="1" applyFont="1" applyNumberFormat="1"/>
    <xf borderId="1" fillId="5" fontId="15" numFmtId="165" xfId="0" applyAlignment="1" applyBorder="1" applyFont="1" applyNumberFormat="1">
      <alignment horizontal="right" shrinkToFit="0" wrapText="1"/>
    </xf>
    <xf borderId="1" fillId="5" fontId="1" numFmtId="10" xfId="0" applyBorder="1" applyFont="1" applyNumberFormat="1"/>
    <xf borderId="1" fillId="5" fontId="1" numFmtId="10" xfId="0" applyAlignment="1" applyBorder="1" applyFont="1" applyNumberFormat="1">
      <alignment horizontal="right"/>
    </xf>
    <xf borderId="1" fillId="5" fontId="19" numFmtId="0" xfId="0" applyBorder="1" applyFont="1"/>
    <xf borderId="1" fillId="5" fontId="20" numFmtId="165" xfId="0" applyAlignment="1" applyBorder="1" applyFont="1" applyNumberFormat="1">
      <alignment horizontal="right" shrinkToFit="0" wrapText="1"/>
    </xf>
    <xf borderId="1" fillId="5" fontId="19" numFmtId="0" xfId="0" applyAlignment="1" applyBorder="1" applyFont="1">
      <alignment horizontal="right"/>
    </xf>
    <xf borderId="1" fillId="0" fontId="1" numFmtId="164" xfId="0" applyAlignment="1" applyBorder="1" applyFont="1" applyNumberFormat="1">
      <alignment horizontal="right"/>
    </xf>
    <xf borderId="1" fillId="5" fontId="21" numFmtId="0" xfId="0" applyBorder="1" applyFont="1"/>
    <xf borderId="1" fillId="5" fontId="14" numFmtId="10" xfId="0" applyAlignment="1" applyBorder="1" applyFont="1" applyNumberFormat="1">
      <alignment horizontal="right"/>
    </xf>
    <xf borderId="1" fillId="5" fontId="1" numFmtId="4" xfId="0" applyAlignment="1" applyBorder="1" applyFont="1" applyNumberFormat="1">
      <alignment horizontal="right"/>
    </xf>
    <xf borderId="1" fillId="5" fontId="1" numFmtId="167" xfId="0" applyAlignment="1" applyBorder="1" applyFont="1" applyNumberFormat="1">
      <alignment horizontal="right"/>
    </xf>
    <xf borderId="1" fillId="5" fontId="1" numFmtId="9" xfId="0" applyAlignment="1" applyBorder="1" applyFont="1" applyNumberFormat="1">
      <alignment horizontal="right"/>
    </xf>
    <xf borderId="6" fillId="5" fontId="2" numFmtId="0" xfId="0" applyBorder="1" applyFont="1"/>
    <xf borderId="6" fillId="5" fontId="9" numFmtId="0" xfId="0" applyBorder="1" applyFont="1"/>
    <xf borderId="6" fillId="0" fontId="1" numFmtId="164" xfId="0" applyAlignment="1" applyBorder="1" applyFont="1" applyNumberFormat="1">
      <alignment horizontal="right"/>
    </xf>
    <xf borderId="2" fillId="5" fontId="9" numFmtId="0" xfId="0" applyBorder="1" applyFont="1"/>
    <xf borderId="4" fillId="5" fontId="14" numFmtId="0" xfId="0" applyAlignment="1" applyBorder="1" applyFont="1">
      <alignment horizontal="right"/>
    </xf>
    <xf borderId="7" fillId="5" fontId="9" numFmtId="0" xfId="0" applyBorder="1" applyFont="1"/>
    <xf borderId="7" fillId="5" fontId="9" numFmtId="0" xfId="0" applyAlignment="1" applyBorder="1" applyFont="1">
      <alignment horizontal="right"/>
    </xf>
    <xf borderId="1" fillId="0" fontId="1" numFmtId="9" xfId="0" applyAlignment="1" applyBorder="1" applyFont="1" applyNumberFormat="1">
      <alignment horizontal="right"/>
    </xf>
    <xf borderId="1" fillId="5" fontId="15" numFmtId="0" xfId="0" applyAlignment="1" applyBorder="1" applyFont="1">
      <alignment horizontal="left"/>
    </xf>
    <xf borderId="1" fillId="5" fontId="20" numFmtId="0" xfId="0" applyAlignment="1" applyBorder="1" applyFont="1">
      <alignment horizontal="right"/>
    </xf>
    <xf borderId="1" fillId="5" fontId="15" numFmtId="165" xfId="0" applyAlignment="1" applyBorder="1" applyFont="1" applyNumberFormat="1">
      <alignment horizontal="left"/>
    </xf>
    <xf borderId="8" fillId="6" fontId="22" numFmtId="0" xfId="0" applyAlignment="1" applyBorder="1" applyFill="1" applyFont="1">
      <alignment horizontal="center" shrinkToFit="0" wrapText="1"/>
    </xf>
    <xf borderId="9" fillId="0" fontId="10" numFmtId="0" xfId="0" applyBorder="1" applyFont="1"/>
    <xf borderId="5" fillId="6" fontId="15" numFmtId="0" xfId="0" applyAlignment="1" applyBorder="1" applyFont="1">
      <alignment shrinkToFit="0" wrapText="1"/>
    </xf>
    <xf borderId="5" fillId="6" fontId="15" numFmtId="165" xfId="0" applyAlignment="1" applyBorder="1" applyFont="1" applyNumberFormat="1">
      <alignment shrinkToFit="0" wrapText="1"/>
    </xf>
    <xf borderId="5" fillId="6" fontId="15" numFmtId="10" xfId="0" applyAlignment="1" applyBorder="1" applyFont="1" applyNumberFormat="1">
      <alignment shrinkToFit="0" wrapText="1"/>
    </xf>
    <xf borderId="5" fillId="6" fontId="15" numFmtId="0" xfId="0" applyAlignment="1" applyBorder="1" applyFont="1">
      <alignment horizontal="center" shrinkToFit="0" wrapText="1"/>
    </xf>
    <xf borderId="5" fillId="7" fontId="16" numFmtId="0" xfId="0" applyBorder="1" applyFill="1" applyFont="1"/>
    <xf borderId="5" fillId="7" fontId="16" numFmtId="165" xfId="0" applyBorder="1" applyFont="1" applyNumberFormat="1"/>
    <xf borderId="5" fillId="7" fontId="16" numFmtId="9" xfId="0" applyBorder="1" applyFont="1" applyNumberFormat="1"/>
    <xf borderId="5" fillId="6" fontId="15" numFmtId="165" xfId="0" applyAlignment="1" applyBorder="1" applyFont="1" applyNumberFormat="1">
      <alignment horizontal="center" shrinkToFit="0" wrapText="1"/>
    </xf>
    <xf borderId="5" fillId="6" fontId="15" numFmtId="10" xfId="0" applyAlignment="1" applyBorder="1" applyFont="1" applyNumberFormat="1">
      <alignment horizontal="center" shrinkToFit="0" wrapText="1"/>
    </xf>
    <xf borderId="0" fillId="0" fontId="14" numFmtId="0" xfId="0" applyAlignment="1" applyFont="1">
      <alignment horizontal="right"/>
    </xf>
    <xf borderId="0" fillId="0" fontId="14" numFmtId="166" xfId="0" applyFont="1" applyNumberFormat="1"/>
    <xf borderId="5" fillId="6" fontId="23" numFmtId="0" xfId="0" applyAlignment="1" applyBorder="1" applyFont="1">
      <alignment horizontal="center" shrinkToFit="0" wrapText="1"/>
    </xf>
    <xf borderId="5" fillId="6" fontId="15" numFmtId="165" xfId="0" applyAlignment="1" applyBorder="1" applyFont="1" applyNumberFormat="1">
      <alignment horizontal="right" shrinkToFit="0" wrapText="1"/>
    </xf>
    <xf borderId="0" fillId="0" fontId="14" numFmtId="165" xfId="0" applyAlignment="1" applyFont="1" applyNumberFormat="1">
      <alignment horizontal="right"/>
    </xf>
    <xf borderId="0" fillId="0" fontId="23" numFmtId="0" xfId="0" applyAlignment="1" applyFont="1">
      <alignment horizontal="center" shrinkToFit="0" wrapText="1"/>
    </xf>
    <xf borderId="0" fillId="0" fontId="23" numFmtId="10" xfId="0" applyAlignment="1" applyFont="1" applyNumberFormat="1">
      <alignment horizontal="right" shrinkToFit="0" wrapText="1"/>
    </xf>
    <xf borderId="0" fillId="0" fontId="15" numFmtId="0" xfId="0" applyAlignment="1" applyFont="1">
      <alignment horizontal="center" shrinkToFit="0" wrapText="1"/>
    </xf>
    <xf borderId="0" fillId="0" fontId="15" numFmtId="10" xfId="0" applyAlignment="1" applyFont="1" applyNumberFormat="1">
      <alignment horizontal="center" shrinkToFit="0" wrapText="1"/>
    </xf>
    <xf borderId="0" fillId="0" fontId="24" numFmtId="0" xfId="0" applyAlignment="1" applyFont="1">
      <alignment vertical="center"/>
    </xf>
    <xf borderId="0" fillId="0" fontId="24" numFmtId="0" xfId="0" applyAlignment="1" applyFont="1">
      <alignment horizontal="center" vertical="center"/>
    </xf>
    <xf borderId="0" fillId="0" fontId="25" numFmtId="168" xfId="0" applyAlignment="1" applyFont="1" applyNumberFormat="1">
      <alignment vertical="center"/>
    </xf>
    <xf borderId="0" fillId="0" fontId="26" numFmtId="168" xfId="0" applyAlignment="1" applyFont="1" applyNumberFormat="1">
      <alignment vertical="center"/>
    </xf>
    <xf borderId="0" fillId="0" fontId="26" numFmtId="0" xfId="0" applyAlignment="1" applyFont="1">
      <alignment vertical="center"/>
    </xf>
    <xf borderId="0" fillId="0" fontId="27" numFmtId="0" xfId="0" applyAlignment="1" applyFont="1">
      <alignment horizontal="center" vertical="center"/>
    </xf>
    <xf borderId="0" fillId="0" fontId="24" numFmtId="10" xfId="0" applyAlignment="1" applyFont="1" applyNumberFormat="1">
      <alignment vertical="center"/>
    </xf>
    <xf borderId="0" fillId="0" fontId="25" numFmtId="0" xfId="0" applyAlignment="1" applyFont="1">
      <alignment vertical="center"/>
    </xf>
    <xf borderId="0" fillId="0" fontId="24" numFmtId="168" xfId="0" applyAlignment="1" applyFont="1" applyNumberFormat="1">
      <alignment vertical="center"/>
    </xf>
    <xf borderId="5" fillId="8" fontId="25" numFmtId="169" xfId="0" applyAlignment="1" applyBorder="1" applyFill="1" applyFont="1" applyNumberFormat="1">
      <alignment vertical="center"/>
    </xf>
    <xf borderId="5" fillId="8" fontId="25" numFmtId="170" xfId="0" applyAlignment="1" applyBorder="1" applyFont="1" applyNumberFormat="1">
      <alignment vertical="center"/>
    </xf>
    <xf borderId="5" fillId="3" fontId="25" numFmtId="0" xfId="0" applyAlignment="1" applyBorder="1" applyFont="1">
      <alignment vertical="center"/>
    </xf>
    <xf borderId="5" fillId="3" fontId="25" numFmtId="168" xfId="0" applyAlignment="1" applyBorder="1" applyFont="1" applyNumberFormat="1">
      <alignment vertical="center"/>
    </xf>
    <xf borderId="0" fillId="0" fontId="28" numFmtId="0" xfId="0" applyAlignment="1" applyFont="1">
      <alignment vertical="center"/>
    </xf>
    <xf borderId="0" fillId="0" fontId="28" numFmtId="2" xfId="0" applyAlignment="1" applyFont="1" applyNumberFormat="1">
      <alignment vertical="center"/>
    </xf>
    <xf borderId="0" fillId="0" fontId="24" numFmtId="165" xfId="0" applyAlignment="1" applyFont="1" applyNumberForma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 black"/>
              </a:defRPr>
            </a:pPr>
            <a:r>
              <a:rPr b="1">
                <a:solidFill>
                  <a:srgbClr val="757575"/>
                </a:solidFill>
                <a:latin typeface="Arial black"/>
              </a:rPr>
              <a:t>ROYAL ELITE</a:t>
            </a:r>
          </a:p>
        </c:rich>
      </c:tx>
      <c:overlay val="0"/>
    </c:title>
    <c:plotArea>
      <c:layout>
        <c:manualLayout>
          <c:xMode val="edge"/>
          <c:yMode val="edge"/>
          <c:x val="0.09636119816779175"/>
          <c:y val="0.12273855525754142"/>
          <c:w val="0.8713340766634522"/>
          <c:h val="0.7487473885175588"/>
        </c:manualLayout>
      </c:layout>
      <c:lineChart>
        <c:ser>
          <c:idx val="0"/>
          <c:order val="0"/>
          <c:tx>
            <c:v>CURRENT TAXES</c:v>
          </c:tx>
          <c:spPr>
            <a:ln cmpd="sng" w="28575">
              <a:solidFill>
                <a:srgbClr val="E06666">
                  <a:alpha val="100000"/>
                </a:srgb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Lbls>
            <c:dLbl>
              <c:idx val="19"/>
              <c:layout>
                <c:manualLayout>
                  <c:xMode val="edge"/>
                  <c:yMode val="edge"/>
                  <c:x val="0.9094448771778565"/>
                  <c:y val="0.9778968965766754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1" sz="1000">
                      <a:latin typeface="Arial black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sz="1000">
                    <a:latin typeface="Arial black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'Royal Elite'!$A$4</c:f>
            </c:strRef>
          </c:cat>
          <c:val>
            <c:numRef>
              <c:f>'Royal Elite'!$A$5</c:f>
              <c:numCache/>
            </c:numRef>
          </c:val>
          <c:smooth val="0"/>
        </c:ser>
        <c:ser>
          <c:idx val="1"/>
          <c:order val="1"/>
          <c:tx>
            <c:v>TAX SAVINGS</c:v>
          </c:tx>
          <c:spPr>
            <a:ln cmpd="sng" w="28575">
              <a:solidFill>
                <a:srgbClr val="F1C232">
                  <a:alpha val="100000"/>
                </a:srgbClr>
              </a:solidFill>
            </a:ln>
          </c:spPr>
          <c:marker>
            <c:symbol val="none"/>
          </c:marker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Lbls>
            <c:dLbl>
              <c:idx val="4"/>
              <c:layout>
                <c:manualLayout>
                  <c:xMode val="edge"/>
                  <c:yMode val="edge"/>
                  <c:x val="0.19671062984296728"/>
                  <c:y val="0.7616733634748647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1" sz="1000">
                      <a:latin typeface="Arial black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sz="1000">
                    <a:latin typeface="Arial black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'Royal Elite'!$A$4</c:f>
            </c:strRef>
          </c:cat>
          <c:val>
            <c:numRef>
              <c:f>'Royal Elite'!$A$6</c:f>
              <c:numCache/>
            </c:numRef>
          </c:val>
          <c:smooth val="0"/>
        </c:ser>
        <c:ser>
          <c:idx val="2"/>
          <c:order val="2"/>
          <c:tx>
            <c:v>REINVESTING TAXES</c:v>
          </c:tx>
          <c:spPr>
            <a:ln cmpd="sng" w="28575">
              <a:solidFill>
                <a:srgbClr val="6AA84F">
                  <a:alpha val="100000"/>
                </a:srgbClr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Lbls>
            <c:dLbl>
              <c:idx val="19"/>
              <c:layout>
                <c:manualLayout>
                  <c:xMode val="edge"/>
                  <c:yMode val="edge"/>
                  <c:x val="0.9077984282444893"/>
                  <c:y val="0.027657115789434666"/>
                </c:manualLayout>
              </c:layout>
              <c:numFmt formatCode="General" sourceLinked="1"/>
              <c:txPr>
                <a:bodyPr/>
                <a:lstStyle/>
                <a:p>
                  <a:pPr lvl="0">
                    <a:defRPr b="1" sz="1000">
                      <a:latin typeface="Arial black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sz="1000">
                    <a:latin typeface="Arial black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'Royal Elite'!$A$4</c:f>
            </c:strRef>
          </c:cat>
          <c:val>
            <c:numRef>
              <c:f>'Royal Elite'!$C$4:$V$4</c:f>
              <c:numCache/>
            </c:numRef>
          </c:val>
          <c:smooth val="0"/>
        </c:ser>
        <c:axId val="2035189647"/>
        <c:axId val="967462068"/>
      </c:lineChart>
      <c:catAx>
        <c:axId val="2035189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67462068"/>
      </c:catAx>
      <c:valAx>
        <c:axId val="9674620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999999"/>
                </a:solidFill>
                <a:latin typeface="Arial black"/>
              </a:defRPr>
            </a:pPr>
          </a:p>
        </c:txPr>
        <c:crossAx val="2035189647"/>
      </c:valAx>
    </c:plotArea>
    <c:legend>
      <c:legendPos val="b"/>
      <c:legendEntry>
        <c:idx val="0"/>
        <c:txPr>
          <a:bodyPr/>
          <a:lstStyle/>
          <a:p>
            <a:pPr lvl="0">
              <a:defRPr b="0" sz="1000">
                <a:solidFill>
                  <a:srgbClr val="999999"/>
                </a:solidFill>
                <a:latin typeface="Arial black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sz="1000">
                <a:solidFill>
                  <a:srgbClr val="999999"/>
                </a:solidFill>
                <a:latin typeface="Arial black"/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 sz="1000">
                <a:solidFill>
                  <a:srgbClr val="999999"/>
                </a:solidFill>
                <a:latin typeface="Arial black"/>
              </a:defRPr>
            </a:pPr>
          </a:p>
        </c:txPr>
      </c:legendEntry>
      <c:overlay val="0"/>
      <c:txPr>
        <a:bodyPr/>
        <a:lstStyle/>
        <a:p>
          <a:pPr lvl="0">
            <a:defRPr b="0" sz="1000">
              <a:solidFill>
                <a:srgbClr val="1A1A1A"/>
              </a:solidFill>
              <a:latin typeface="+mn-lt"/>
            </a:defRPr>
          </a:pPr>
        </a:p>
      </c:txPr>
    </c:legend>
    <c:plotVisOnly val="0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r>
              <a:rPr b="1" i="0">
                <a:solidFill>
                  <a:srgbClr val="000000"/>
                </a:solidFill>
                <a:latin typeface="+mn-lt"/>
              </a:rPr>
              <a:t>INVESTOR CLUB</a:t>
            </a:r>
          </a:p>
        </c:rich>
      </c:tx>
      <c:layout>
        <c:manualLayout>
          <c:xMode val="edge"/>
          <c:yMode val="edge"/>
          <c:x val="0.030880829015544044"/>
          <c:y val="0.04664429530201342"/>
        </c:manualLayout>
      </c:layout>
      <c:overlay val="0"/>
    </c:title>
    <c:plotArea>
      <c:layout/>
      <c:barChart>
        <c:barDir val="col"/>
        <c:ser>
          <c:idx val="0"/>
          <c:order val="0"/>
          <c:tx>
            <c:strRef>
              <c:f>'Investor Club'!$A$2</c:f>
            </c:strRef>
          </c:tx>
          <c:spPr>
            <a:solidFill>
              <a:srgbClr val="D9EAD3"/>
            </a:solidFill>
            <a:ln cmpd="sng">
              <a:solidFill>
                <a:srgbClr val="000000"/>
              </a:solidFill>
            </a:ln>
          </c:spPr>
          <c:cat>
            <c:strRef>
              <c:f>'Investor Club'!$B$1:$E$1</c:f>
            </c:strRef>
          </c:cat>
          <c:val>
            <c:numRef>
              <c:f>'Investor Club'!$B$2:$E$2</c:f>
              <c:numCache/>
            </c:numRef>
          </c:val>
        </c:ser>
        <c:ser>
          <c:idx val="1"/>
          <c:order val="1"/>
          <c:tx>
            <c:strRef>
              <c:f>'Investor Club'!$A$10</c:f>
            </c:strRef>
          </c:tx>
          <c:spPr>
            <a:solidFill>
              <a:srgbClr val="B6D7A8"/>
            </a:solidFill>
            <a:ln cmpd="sng">
              <a:solidFill>
                <a:srgbClr val="000000"/>
              </a:solidFill>
            </a:ln>
          </c:spPr>
          <c:cat>
            <c:strRef>
              <c:f>'Investor Club'!$B$1:$E$1</c:f>
            </c:strRef>
          </c:cat>
          <c:val>
            <c:numRef>
              <c:f>'Investor Club'!$B$10:$E$10</c:f>
              <c:numCache/>
            </c:numRef>
          </c:val>
        </c:ser>
        <c:ser>
          <c:idx val="2"/>
          <c:order val="2"/>
          <c:tx>
            <c:strRef>
              <c:f>'Investor Club'!$A$11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cat>
            <c:strRef>
              <c:f>'Investor Club'!$B$1:$E$1</c:f>
            </c:strRef>
          </c:cat>
          <c:val>
            <c:numRef>
              <c:f>'Investor Club'!$B$11:$E$11</c:f>
              <c:numCache/>
            </c:numRef>
          </c:val>
        </c:ser>
        <c:ser>
          <c:idx val="3"/>
          <c:order val="3"/>
          <c:tx>
            <c:strRef>
              <c:f>'Investor Club'!$A$12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'Investor Club'!$B$1:$E$1</c:f>
            </c:strRef>
          </c:cat>
          <c:val>
            <c:numRef>
              <c:f>'Investor Club'!$B$12:$E$12</c:f>
              <c:numCache/>
            </c:numRef>
          </c:val>
        </c:ser>
        <c:ser>
          <c:idx val="4"/>
          <c:order val="4"/>
          <c:tx>
            <c:strRef>
              <c:f>'Investor Club'!$A$13</c:f>
            </c:strRef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cat>
            <c:strRef>
              <c:f>'Investor Club'!$B$1:$E$1</c:f>
            </c:strRef>
          </c:cat>
          <c:val>
            <c:numRef>
              <c:f>'Investor Club'!$B$13:$E$13</c:f>
              <c:numCache/>
            </c:numRef>
          </c:val>
        </c:ser>
        <c:ser>
          <c:idx val="5"/>
          <c:order val="5"/>
          <c:tx>
            <c:strRef>
              <c:f>'Investor Club'!$A$14</c:f>
            </c:strRef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'Investor Club'!$B$1:$E$1</c:f>
            </c:strRef>
          </c:cat>
          <c:val>
            <c:numRef>
              <c:f>'Investor Club'!$B$14:$E$14</c:f>
              <c:numCache/>
            </c:numRef>
          </c:val>
        </c:ser>
        <c:axId val="325394760"/>
        <c:axId val="2073341122"/>
      </c:barChart>
      <c:catAx>
        <c:axId val="325394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73341122"/>
      </c:catAx>
      <c:valAx>
        <c:axId val="20733411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25394760"/>
      </c:valAx>
    </c:plotArea>
    <c:plotVisOnly val="0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Tax Strategy and Planning vs. Current</a:t>
            </a:r>
          </a:p>
        </c:rich>
      </c:tx>
      <c:overlay val="0"/>
    </c:title>
    <c:plotArea>
      <c:layout/>
      <c:lineChart>
        <c:ser>
          <c:idx val="0"/>
          <c:order val="0"/>
          <c:tx>
            <c:v>Accumulated Tax Savings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Graphs!$F$8:$F$27</c:f>
              <c:numCache/>
            </c:numRef>
          </c:val>
          <c:smooth val="0"/>
        </c:ser>
        <c:ser>
          <c:idx val="1"/>
          <c:order val="1"/>
          <c:tx>
            <c:v>Investment Loss</c:v>
          </c:tx>
          <c:spPr>
            <a:ln cmpd="sng" w="28575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Graphs!$E$7:$E$27</c:f>
              <c:numCache/>
            </c:numRef>
          </c:val>
          <c:smooth val="0"/>
        </c:ser>
        <c:axId val="1738612649"/>
        <c:axId val="314690112"/>
      </c:lineChart>
      <c:catAx>
        <c:axId val="17386126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14690112"/>
      </c:catAx>
      <c:valAx>
        <c:axId val="314690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38612649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Royal Elite Payback</a:t>
            </a:r>
          </a:p>
        </c:rich>
      </c:tx>
      <c:overlay val="0"/>
    </c:title>
    <c:plotArea>
      <c:layout/>
      <c:lineChart>
        <c:ser>
          <c:idx val="0"/>
          <c:order val="0"/>
          <c:tx>
            <c:v>Accumulated Tax Savings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Graphs!$A$8:$A$12</c:f>
            </c:strRef>
          </c:cat>
          <c:val>
            <c:numRef>
              <c:f>Graphs!$D$8:$D$12</c:f>
              <c:numCache/>
            </c:numRef>
          </c:val>
          <c:smooth val="1"/>
        </c:ser>
        <c:ser>
          <c:idx val="1"/>
          <c:order val="1"/>
          <c:tx>
            <c:v>Royal Elite Costs</c:v>
          </c:tx>
          <c:spPr>
            <a:ln cmpd="sng" w="28575">
              <a:solidFill>
                <a:srgbClr val="ED7D31">
                  <a:alpha val="100000"/>
                </a:srgbClr>
              </a:solidFill>
            </a:ln>
          </c:spPr>
          <c:marker>
            <c:symbol val="none"/>
          </c:marker>
          <c:trendline>
            <c:name>Linear (Royal Elite Costs)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Graphs!$A$8:$A$12</c:f>
            </c:strRef>
          </c:cat>
          <c:val>
            <c:numRef>
              <c:f>Graphs!$B$8:$B$12</c:f>
              <c:numCache/>
            </c:numRef>
          </c:val>
          <c:smooth val="1"/>
        </c:ser>
        <c:axId val="175088427"/>
        <c:axId val="1432048656"/>
      </c:lineChart>
      <c:catAx>
        <c:axId val="1750884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2048656"/>
      </c:catAx>
      <c:valAx>
        <c:axId val="1432048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5088427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400">
                <a:solidFill>
                  <a:schemeClr val="dk1"/>
                </a:solidFill>
                <a:latin typeface="+mn-lt"/>
              </a:defRPr>
            </a:pPr>
            <a:r>
              <a:rPr b="1" i="0" sz="2400">
                <a:solidFill>
                  <a:schemeClr val="dk1"/>
                </a:solidFill>
                <a:latin typeface="+mn-lt"/>
              </a:rPr>
              <a:t>Tax Strategy and Planning vs. Current Strategy
(5 Year Intervals)</a:t>
            </a:r>
          </a:p>
        </c:rich>
      </c:tx>
      <c:overlay val="0"/>
    </c:title>
    <c:plotArea>
      <c:layout/>
      <c:lineChart>
        <c:ser>
          <c:idx val="0"/>
          <c:order val="0"/>
          <c:tx>
            <c:v>Tax Savings Motivated</c:v>
          </c:tx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 i="0" sz="900">
                      <a:solidFill>
                        <a:srgbClr val="FFFFFF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 sz="900">
                    <a:solidFill>
                      <a:srgbClr val="FFFFFF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Graphs!$Q$2:$Q$6</c:f>
              <c:numCache/>
            </c:numRef>
          </c:val>
          <c:smooth val="1"/>
        </c:ser>
        <c:ser>
          <c:idx val="1"/>
          <c:order val="1"/>
          <c:tx>
            <c:v>Taxes Paid</c:v>
          </c:tx>
          <c:spPr>
            <a:ln cmpd="sng" w="28575">
              <a:solidFill>
                <a:srgbClr val="E06666">
                  <a:alpha val="100000"/>
                </a:srgbClr>
              </a:solidFill>
              <a:prstDash val="dash"/>
            </a:ln>
          </c:spPr>
          <c:marker>
            <c:symbol val="circle"/>
            <c:size val="10"/>
            <c:spPr>
              <a:solidFill>
                <a:srgbClr val="E06666">
                  <a:alpha val="100000"/>
                </a:srgbClr>
              </a:solidFill>
              <a:ln cmpd="sng">
                <a:solidFill>
                  <a:srgbClr val="E06666">
                    <a:alpha val="100000"/>
                  </a:srgbClr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solidFill>
                      <a:srgbClr val="FFFFFF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Graphs!$R$2:$R$6</c:f>
              <c:numCache/>
            </c:numRef>
          </c:val>
          <c:smooth val="1"/>
        </c:ser>
        <c:axId val="235574686"/>
        <c:axId val="893459774"/>
      </c:lineChart>
      <c:catAx>
        <c:axId val="2355746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&quot;$&quot;* #,##0_);_(&quot;$&quot;* \(#,##0\);_(&quot;$&quot;* &quot;-&quot;??_);_(@_)" sourceLinked="0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893459774"/>
      </c:catAx>
      <c:valAx>
        <c:axId val="8934597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chemeClr val="dk1"/>
                </a:solidFill>
                <a:latin typeface="+mn-lt"/>
              </a:defRPr>
            </a:pPr>
          </a:p>
        </c:txPr>
        <c:crossAx val="235574686"/>
      </c:valAx>
    </c:plotArea>
    <c:legend>
      <c:legendPos val="r"/>
      <c:overlay val="0"/>
      <c:txPr>
        <a:bodyPr/>
        <a:lstStyle/>
        <a:p>
          <a:pPr lvl="0">
            <a:defRPr b="0" i="0" sz="1600">
              <a:solidFill>
                <a:schemeClr val="dk1"/>
              </a:solidFill>
              <a:latin typeface="+mn-lt"/>
            </a:defRPr>
          </a:pPr>
        </a:p>
      </c:txPr>
    </c:legend>
    <c:plotVisOnly val="1"/>
  </c:chart>
  <c:spPr>
    <a:solidFill>
      <a:schemeClr val="lt1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chemeClr val="dk1"/>
                </a:solidFill>
                <a:latin typeface="+mn-lt"/>
              </a:defRPr>
            </a:pPr>
            <a:r>
              <a:rPr b="1" i="0" sz="1800">
                <a:solidFill>
                  <a:schemeClr val="dk1"/>
                </a:solidFill>
                <a:latin typeface="+mn-lt"/>
              </a:rPr>
              <a:t>Tax &amp; Portfolio</a:t>
            </a:r>
          </a:p>
        </c:rich>
      </c:tx>
      <c:overlay val="0"/>
    </c:title>
    <c:plotArea>
      <c:layout/>
      <c:lineChart>
        <c:ser>
          <c:idx val="0"/>
          <c:order val="0"/>
          <c:tx>
            <c:v>Losing Tax Every Year</c:v>
          </c:tx>
          <c:spPr>
            <a:ln cmpd="sng" w="38100">
              <a:solidFill>
                <a:srgbClr val="E06666">
                  <a:alpha val="100000"/>
                </a:srgbClr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E06666">
                  <a:alpha val="100000"/>
                </a:srgbClr>
              </a:solidFill>
              <a:ln cmpd="sng">
                <a:solidFill>
                  <a:srgbClr val="E06666">
                    <a:alpha val="100000"/>
                  </a:srgbClr>
                </a:solidFill>
              </a:ln>
            </c:spPr>
          </c:marker>
          <c:dPt>
            <c:idx val="0"/>
            <c:marker>
              <c:symbol val="none"/>
            </c:marker>
          </c:dPt>
          <c:dLbls>
            <c:dLbl>
              <c:idx val="0"/>
              <c:numFmt formatCode="&quot;$&quot;#,##0" sourceLinked="0"/>
              <c:txPr>
                <a:bodyPr/>
                <a:lstStyle/>
                <a:p>
                  <a:pPr lvl="0">
                    <a:defRPr b="1" i="0" sz="900">
                      <a:solidFill>
                        <a:srgbClr val="FFFFFF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0"/>
            <c:txPr>
              <a:bodyPr/>
              <a:lstStyle/>
              <a:p>
                <a:pPr lvl="0">
                  <a:defRPr b="1" i="0" sz="1600">
                    <a:solidFill>
                      <a:srgbClr val="E06666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Graphs!$R$2:$R$6</c:f>
              <c:numCache/>
            </c:numRef>
          </c:val>
          <c:smooth val="1"/>
        </c:ser>
        <c:ser>
          <c:idx val="1"/>
          <c:order val="1"/>
          <c:tx>
            <c:v>Reinvesting Tax Savings</c:v>
          </c:tx>
          <c:spPr>
            <a:ln cmpd="sng" w="38100">
              <a:solidFill>
                <a:schemeClr val="accent6"/>
              </a:solidFill>
              <a:prstDash val="solid"/>
            </a:ln>
          </c:spPr>
          <c:marker>
            <c:symbol val="circle"/>
            <c:size val="11"/>
            <c:spPr>
              <a:solidFill>
                <a:schemeClr val="accent6"/>
              </a:solidFill>
              <a:ln cmpd="sng">
                <a:solidFill>
                  <a:schemeClr val="accent6"/>
                </a:solidFill>
              </a:ln>
            </c:spPr>
          </c:marker>
          <c:dLbls>
            <c:numFmt formatCode="&quot;$&quot;#,##0" sourceLinked="0"/>
            <c:txPr>
              <a:bodyPr/>
              <a:lstStyle/>
              <a:p>
                <a:pPr lvl="0">
                  <a:defRPr b="1" i="0" sz="1600">
                    <a:solidFill>
                      <a:srgbClr val="70AD47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Graphs!$Q$2:$Q$6</c:f>
              <c:numCache/>
            </c:numRef>
          </c:val>
          <c:smooth val="1"/>
        </c:ser>
        <c:axId val="158731622"/>
        <c:axId val="762469428"/>
      </c:lineChart>
      <c:catAx>
        <c:axId val="1587316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&quot;$&quot;* #,##0_);_(&quot;$&quot;* \(#,##0\);_(&quot;$&quot;* &quot;-&quot;??_);_(@_)" sourceLinked="0"/>
        <c:majorTickMark val="none"/>
        <c:minorTickMark val="none"/>
        <c:spPr/>
        <c:txPr>
          <a:bodyPr/>
          <a:lstStyle/>
          <a:p>
            <a:pPr lvl="0">
              <a:defRPr b="0" i="0" sz="1600">
                <a:solidFill>
                  <a:schemeClr val="lt1"/>
                </a:solidFill>
                <a:latin typeface="+mn-lt"/>
              </a:defRPr>
            </a:pPr>
          </a:p>
        </c:txPr>
        <c:crossAx val="762469428"/>
      </c:catAx>
      <c:valAx>
        <c:axId val="7624694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chemeClr val="dk1"/>
                </a:solidFill>
                <a:latin typeface="+mn-lt"/>
              </a:defRPr>
            </a:pPr>
          </a:p>
        </c:txPr>
        <c:crossAx val="158731622"/>
      </c:valAx>
    </c:plotArea>
    <c:legend>
      <c:legendPos val="r"/>
      <c:overlay val="0"/>
      <c:txPr>
        <a:bodyPr/>
        <a:lstStyle/>
        <a:p>
          <a:pPr lvl="0">
            <a:defRPr b="0" i="0" sz="1600">
              <a:solidFill>
                <a:schemeClr val="dk1"/>
              </a:solidFill>
              <a:latin typeface="+mn-lt"/>
            </a:defRPr>
          </a:pPr>
        </a:p>
      </c:txPr>
    </c:legend>
    <c:plotVisOnly val="1"/>
  </c:chart>
  <c:spPr>
    <a:solidFill>
      <a:schemeClr val="lt1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chemeClr val="dk1"/>
                </a:solidFill>
                <a:latin typeface="+mn-lt"/>
              </a:defRPr>
            </a:pPr>
            <a:r>
              <a:rPr b="1" i="0" sz="1800">
                <a:solidFill>
                  <a:schemeClr val="dk1"/>
                </a:solidFill>
                <a:latin typeface="+mn-lt"/>
              </a:rPr>
              <a:t>Royal Elite Payback</a:t>
            </a:r>
          </a:p>
        </c:rich>
      </c:tx>
      <c:overlay val="0"/>
    </c:title>
    <c:plotArea>
      <c:layout/>
      <c:lineChart>
        <c:ser>
          <c:idx val="0"/>
          <c:order val="0"/>
          <c:tx>
            <c:v>Accumulated Tax Savings</c:v>
          </c:tx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Graphs!$A$8:$A$12</c:f>
            </c:strRef>
          </c:cat>
          <c:val>
            <c:numRef>
              <c:f>Graphs!$D$8:$D$12</c:f>
              <c:numCache/>
            </c:numRef>
          </c:val>
          <c:smooth val="1"/>
        </c:ser>
        <c:ser>
          <c:idx val="1"/>
          <c:order val="1"/>
          <c:tx>
            <c:v>Royal Elite Costs</c:v>
          </c:tx>
          <c:spPr>
            <a:ln cmpd="sng" w="28575">
              <a:solidFill>
                <a:srgbClr val="ED7D31">
                  <a:alpha val="100000"/>
                </a:srgbClr>
              </a:solidFill>
            </a:ln>
          </c:spPr>
          <c:marker>
            <c:symbol val="circle"/>
            <c:size val="17"/>
            <c:spPr>
              <a:solidFill>
                <a:srgbClr val="ED7D31">
                  <a:alpha val="100000"/>
                </a:srgbClr>
              </a:solidFill>
              <a:ln cmpd="sng">
                <a:solidFill>
                  <a:srgbClr val="ED7D31">
                    <a:alpha val="100000"/>
                  </a:srgbClr>
                </a:solidFill>
              </a:ln>
            </c:spPr>
          </c:marker>
          <c:trendline>
            <c:name>Linear (Royal Elite Costs)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Graphs!$A$8:$A$12</c:f>
            </c:strRef>
          </c:cat>
          <c:val>
            <c:numRef>
              <c:f>Graphs!$B$8:$B$12</c:f>
              <c:numCache/>
            </c:numRef>
          </c:val>
          <c:smooth val="1"/>
        </c:ser>
        <c:axId val="945861253"/>
        <c:axId val="1534142121"/>
      </c:lineChart>
      <c:catAx>
        <c:axId val="9458612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chemeClr val="dk1"/>
                </a:solidFill>
                <a:latin typeface="+mn-lt"/>
              </a:defRPr>
            </a:pPr>
          </a:p>
        </c:txPr>
        <c:crossAx val="1534142121"/>
      </c:catAx>
      <c:valAx>
        <c:axId val="15341421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45861253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chemeClr val="dk1"/>
              </a:solidFill>
              <a:latin typeface="+mn-lt"/>
            </a:defRPr>
          </a:pPr>
        </a:p>
      </c:txPr>
    </c:legend>
    <c:plotVisOnly val="1"/>
  </c:chart>
  <c:spPr>
    <a:solidFill>
      <a:schemeClr val="lt1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chemeClr val="dk1"/>
                </a:solidFill>
                <a:latin typeface="+mn-lt"/>
              </a:defRPr>
            </a:pPr>
            <a:r>
              <a:rPr b="1" i="0" sz="1800">
                <a:solidFill>
                  <a:schemeClr val="dk1"/>
                </a:solidFill>
                <a:latin typeface="+mn-lt"/>
              </a:rPr>
              <a:t>Tax &amp; Portfolio</a:t>
            </a:r>
          </a:p>
        </c:rich>
      </c:tx>
      <c:overlay val="0"/>
    </c:title>
    <c:plotArea>
      <c:layout/>
      <c:lineChart>
        <c:ser>
          <c:idx val="0"/>
          <c:order val="0"/>
          <c:tx>
            <c:v>Losing Tax Every Year</c:v>
          </c:tx>
          <c:spPr>
            <a:ln cmpd="sng" w="38100">
              <a:solidFill>
                <a:srgbClr val="E06666">
                  <a:alpha val="100000"/>
                </a:srgbClr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E06666">
                  <a:alpha val="100000"/>
                </a:srgbClr>
              </a:solidFill>
              <a:ln cmpd="sng">
                <a:solidFill>
                  <a:srgbClr val="E06666">
                    <a:alpha val="100000"/>
                  </a:srgbClr>
                </a:solidFill>
              </a:ln>
            </c:spPr>
          </c:marker>
          <c:dPt>
            <c:idx val="0"/>
            <c:marker>
              <c:symbol val="none"/>
            </c:marker>
          </c:dPt>
          <c:dLbls>
            <c:dLbl>
              <c:idx val="0"/>
              <c:numFmt formatCode="&quot;$&quot;#,##0" sourceLinked="0"/>
              <c:txPr>
                <a:bodyPr/>
                <a:lstStyle/>
                <a:p>
                  <a:pPr lvl="0">
                    <a:defRPr b="1" i="0" sz="900">
                      <a:solidFill>
                        <a:srgbClr val="FFFFFF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0"/>
            <c:txPr>
              <a:bodyPr/>
              <a:lstStyle/>
              <a:p>
                <a:pPr lvl="0">
                  <a:defRPr b="1" i="0" sz="1600">
                    <a:solidFill>
                      <a:srgbClr val="E06666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Graphs!$R$2:$R$6</c:f>
              <c:numCache/>
            </c:numRef>
          </c:val>
          <c:smooth val="1"/>
        </c:ser>
        <c:ser>
          <c:idx val="1"/>
          <c:order val="1"/>
          <c:tx>
            <c:v>Paying $0 In Tax</c:v>
          </c:tx>
          <c:spPr>
            <a:ln cmpd="sng" w="38100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E69138">
                  <a:alpha val="100000"/>
                </a:srgbClr>
              </a:solidFill>
              <a:ln cmpd="sng">
                <a:solidFill>
                  <a:srgbClr val="E69138">
                    <a:alpha val="100000"/>
                  </a:srgbClr>
                </a:solidFill>
              </a:ln>
            </c:spPr>
          </c:marker>
          <c:val>
            <c:numRef>
              <c:f>Graphs!$S$2:$S$6</c:f>
              <c:numCache/>
            </c:numRef>
          </c:val>
          <c:smooth val="1"/>
        </c:ser>
        <c:axId val="353790249"/>
        <c:axId val="2137970296"/>
      </c:lineChart>
      <c:catAx>
        <c:axId val="3537902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&quot;$&quot;* #,##0_);_(&quot;$&quot;* \(#,##0\);_(&quot;$&quot;* &quot;-&quot;??_);_(@_)" sourceLinked="0"/>
        <c:majorTickMark val="none"/>
        <c:minorTickMark val="none"/>
        <c:spPr/>
        <c:txPr>
          <a:bodyPr/>
          <a:lstStyle/>
          <a:p>
            <a:pPr lvl="0">
              <a:defRPr b="0" i="0" sz="1600">
                <a:solidFill>
                  <a:schemeClr val="lt1"/>
                </a:solidFill>
                <a:latin typeface="+mn-lt"/>
              </a:defRPr>
            </a:pPr>
          </a:p>
        </c:txPr>
        <c:crossAx val="2137970296"/>
      </c:catAx>
      <c:valAx>
        <c:axId val="2137970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chemeClr val="dk1"/>
                </a:solidFill>
                <a:latin typeface="+mn-lt"/>
              </a:defRPr>
            </a:pPr>
          </a:p>
        </c:txPr>
        <c:crossAx val="353790249"/>
      </c:valAx>
    </c:plotArea>
    <c:legend>
      <c:legendPos val="r"/>
      <c:overlay val="0"/>
      <c:txPr>
        <a:bodyPr/>
        <a:lstStyle/>
        <a:p>
          <a:pPr lvl="0">
            <a:defRPr b="0" i="0" sz="1600">
              <a:solidFill>
                <a:schemeClr val="dk1"/>
              </a:solidFill>
              <a:latin typeface="+mn-lt"/>
            </a:defRPr>
          </a:pPr>
        </a:p>
      </c:txPr>
    </c:legend>
    <c:plotVisOnly val="1"/>
  </c:chart>
  <c:spPr>
    <a:solidFill>
      <a:schemeClr val="lt1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image" Target="../media/image1.png"/><Relationship Id="rId5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123825</xdr:rowOff>
    </xdr:from>
    <xdr:ext cx="7562850" cy="4343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14</xdr:row>
      <xdr:rowOff>19050</xdr:rowOff>
    </xdr:from>
    <xdr:ext cx="5610225" cy="37528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29</xdr:row>
      <xdr:rowOff>0</xdr:rowOff>
    </xdr:from>
    <xdr:ext cx="8677275" cy="380047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0</xdr:colOff>
      <xdr:row>52</xdr:row>
      <xdr:rowOff>0</xdr:rowOff>
    </xdr:from>
    <xdr:ext cx="8677275" cy="380047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609600</xdr:colOff>
      <xdr:row>28</xdr:row>
      <xdr:rowOff>161925</xdr:rowOff>
    </xdr:from>
    <xdr:ext cx="9363075" cy="47148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</xdr:colOff>
      <xdr:row>36</xdr:row>
      <xdr:rowOff>0</xdr:rowOff>
    </xdr:from>
    <xdr:ext cx="7639050" cy="458152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141</xdr:row>
      <xdr:rowOff>190500</xdr:rowOff>
    </xdr:from>
    <xdr:ext cx="8334375" cy="400050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14</xdr:col>
      <xdr:colOff>247650</xdr:colOff>
      <xdr:row>147</xdr:row>
      <xdr:rowOff>47625</xdr:rowOff>
    </xdr:from>
    <xdr:ext cx="9096375" cy="54768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11</xdr:col>
      <xdr:colOff>171450</xdr:colOff>
      <xdr:row>107</xdr:row>
      <xdr:rowOff>152400</xdr:rowOff>
    </xdr:from>
    <xdr:ext cx="971550" cy="561975"/>
    <xdr:pic>
      <xdr:nvPicPr>
        <xdr:cNvPr id="0" name="image1.png" title="Chart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171450</xdr:colOff>
      <xdr:row>110</xdr:row>
      <xdr:rowOff>104775</xdr:rowOff>
    </xdr:from>
    <xdr:ext cx="971550" cy="561975"/>
    <xdr:pic>
      <xdr:nvPicPr>
        <xdr:cNvPr id="0" name="image2.png" title="Chart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1781175</xdr:colOff>
      <xdr:row>21</xdr:row>
      <xdr:rowOff>0</xdr:rowOff>
    </xdr:from>
    <xdr:ext cx="1457325" cy="1285875"/>
    <xdr:pic>
      <xdr:nvPicPr>
        <xdr:cNvPr descr="Merger with solid fill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1790700</xdr:colOff>
      <xdr:row>21</xdr:row>
      <xdr:rowOff>9525</xdr:rowOff>
    </xdr:from>
    <xdr:ext cx="1457325" cy="1285875"/>
    <xdr:pic>
      <xdr:nvPicPr>
        <xdr:cNvPr descr="Merger with solid fill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1752600</xdr:colOff>
      <xdr:row>47</xdr:row>
      <xdr:rowOff>66675</xdr:rowOff>
    </xdr:from>
    <xdr:ext cx="1457325" cy="1190625"/>
    <xdr:pic>
      <xdr:nvPicPr>
        <xdr:cNvPr descr="Merger with solid fill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1752600</xdr:colOff>
      <xdr:row>74</xdr:row>
      <xdr:rowOff>66675</xdr:rowOff>
    </xdr:from>
    <xdr:ext cx="1447800" cy="1428750"/>
    <xdr:pic>
      <xdr:nvPicPr>
        <xdr:cNvPr descr="Merger with solid fill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 outlineLevelCol="2"/>
  <cols>
    <col customWidth="1" min="1" max="1" width="24.43"/>
    <col collapsed="1" customWidth="1" min="2" max="2" width="16.14"/>
    <col customWidth="1" hidden="1" min="3" max="4" width="13.71" outlineLevel="1"/>
    <col collapsed="1" customWidth="1" hidden="1" min="5" max="5" width="15.0" outlineLevel="1"/>
    <col customWidth="1" hidden="1" min="6" max="10" width="15.0" outlineLevel="2"/>
    <col customWidth="1" hidden="1" min="11" max="21" width="16.0" outlineLevel="2"/>
    <col customWidth="1" hidden="1" min="22" max="22" width="16.0" outlineLevel="1"/>
    <col customWidth="1" min="23" max="43" width="27.57"/>
  </cols>
  <sheetData>
    <row r="1" ht="21.7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ht="21.75" customHeight="1">
      <c r="A2" s="1" t="s">
        <v>22</v>
      </c>
      <c r="B2" s="4">
        <v>300000.0</v>
      </c>
      <c r="C2" s="5">
        <f>$B2*1</f>
        <v>300000</v>
      </c>
      <c r="D2" s="5">
        <f>$B2*2</f>
        <v>600000</v>
      </c>
      <c r="E2" s="5">
        <f>$B2*3</f>
        <v>900000</v>
      </c>
      <c r="F2" s="5">
        <f>$B2*4</f>
        <v>1200000</v>
      </c>
      <c r="G2" s="5">
        <f>$B2*5</f>
        <v>1500000</v>
      </c>
      <c r="H2" s="5">
        <f>$B2*6</f>
        <v>1800000</v>
      </c>
      <c r="I2" s="5">
        <f>$B2*7</f>
        <v>2100000</v>
      </c>
      <c r="J2" s="5">
        <f>$B2*8</f>
        <v>2400000</v>
      </c>
      <c r="K2" s="5">
        <f>$B2*9</f>
        <v>2700000</v>
      </c>
      <c r="L2" s="5">
        <f>$B2*10</f>
        <v>3000000</v>
      </c>
      <c r="M2" s="5">
        <f>$B2*11</f>
        <v>3300000</v>
      </c>
      <c r="N2" s="5">
        <f>$B2*12</f>
        <v>3600000</v>
      </c>
      <c r="O2" s="5">
        <f>$B2*13</f>
        <v>3900000</v>
      </c>
      <c r="P2" s="5">
        <f>$B2*14</f>
        <v>4200000</v>
      </c>
      <c r="Q2" s="5">
        <f>$B2*15</f>
        <v>4500000</v>
      </c>
      <c r="R2" s="5">
        <f>$B2*16</f>
        <v>4800000</v>
      </c>
      <c r="S2" s="5">
        <f>$B2*17</f>
        <v>5100000</v>
      </c>
      <c r="T2" s="5">
        <f>$B2*18</f>
        <v>5400000</v>
      </c>
      <c r="U2" s="5">
        <f>$B2*19</f>
        <v>5700000</v>
      </c>
      <c r="V2" s="5">
        <f>$B2*20</f>
        <v>6000000</v>
      </c>
      <c r="W2" s="6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ht="21.75" customHeight="1">
      <c r="A3" s="7" t="s">
        <v>23</v>
      </c>
      <c r="B3" s="8">
        <v>0.25</v>
      </c>
      <c r="C3" s="9">
        <f t="shared" ref="C3:V3" si="1">$B3</f>
        <v>0.25</v>
      </c>
      <c r="D3" s="9">
        <f t="shared" si="1"/>
        <v>0.25</v>
      </c>
      <c r="E3" s="9">
        <f t="shared" si="1"/>
        <v>0.25</v>
      </c>
      <c r="F3" s="9">
        <f t="shared" si="1"/>
        <v>0.25</v>
      </c>
      <c r="G3" s="9">
        <f t="shared" si="1"/>
        <v>0.25</v>
      </c>
      <c r="H3" s="9">
        <f t="shared" si="1"/>
        <v>0.25</v>
      </c>
      <c r="I3" s="9">
        <f t="shared" si="1"/>
        <v>0.25</v>
      </c>
      <c r="J3" s="9">
        <f t="shared" si="1"/>
        <v>0.25</v>
      </c>
      <c r="K3" s="9">
        <f t="shared" si="1"/>
        <v>0.25</v>
      </c>
      <c r="L3" s="9">
        <f t="shared" si="1"/>
        <v>0.25</v>
      </c>
      <c r="M3" s="9">
        <f t="shared" si="1"/>
        <v>0.25</v>
      </c>
      <c r="N3" s="9">
        <f t="shared" si="1"/>
        <v>0.25</v>
      </c>
      <c r="O3" s="9">
        <f t="shared" si="1"/>
        <v>0.25</v>
      </c>
      <c r="P3" s="9">
        <f t="shared" si="1"/>
        <v>0.25</v>
      </c>
      <c r="Q3" s="9">
        <f t="shared" si="1"/>
        <v>0.25</v>
      </c>
      <c r="R3" s="9">
        <f t="shared" si="1"/>
        <v>0.25</v>
      </c>
      <c r="S3" s="9">
        <f t="shared" si="1"/>
        <v>0.25</v>
      </c>
      <c r="T3" s="9">
        <f t="shared" si="1"/>
        <v>0.25</v>
      </c>
      <c r="U3" s="9">
        <f t="shared" si="1"/>
        <v>0.25</v>
      </c>
      <c r="V3" s="9">
        <f t="shared" si="1"/>
        <v>0.25</v>
      </c>
      <c r="W3" s="10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ht="21.75" customHeight="1">
      <c r="A4" s="7" t="s">
        <v>24</v>
      </c>
      <c r="B4" s="11">
        <f>-B2*B3</f>
        <v>-75000</v>
      </c>
      <c r="C4" s="12">
        <f t="shared" ref="C4:C5" si="2">$B4*1</f>
        <v>-75000</v>
      </c>
      <c r="D4" s="12">
        <f t="shared" ref="D4:D5" si="3">$B4*2</f>
        <v>-150000</v>
      </c>
      <c r="E4" s="12">
        <f t="shared" ref="E4:E5" si="4">$B4*3</f>
        <v>-225000</v>
      </c>
      <c r="F4" s="12">
        <f t="shared" ref="F4:F5" si="5">$B4*4</f>
        <v>-300000</v>
      </c>
      <c r="G4" s="12">
        <f t="shared" ref="G4:G5" si="6">$B4*5</f>
        <v>-375000</v>
      </c>
      <c r="H4" s="12">
        <f t="shared" ref="H4:H5" si="7">$B4*6</f>
        <v>-450000</v>
      </c>
      <c r="I4" s="12">
        <f t="shared" ref="I4:I5" si="8">$B4*7</f>
        <v>-525000</v>
      </c>
      <c r="J4" s="12">
        <f t="shared" ref="J4:J5" si="9">$B4*8</f>
        <v>-600000</v>
      </c>
      <c r="K4" s="12">
        <f t="shared" ref="K4:K5" si="10">$B4*9</f>
        <v>-675000</v>
      </c>
      <c r="L4" s="12">
        <f t="shared" ref="L4:L5" si="11">$B4*10</f>
        <v>-750000</v>
      </c>
      <c r="M4" s="12">
        <f t="shared" ref="M4:M5" si="12">$B4*11</f>
        <v>-825000</v>
      </c>
      <c r="N4" s="12">
        <f t="shared" ref="N4:N5" si="13">$B4*12</f>
        <v>-900000</v>
      </c>
      <c r="O4" s="12">
        <f t="shared" ref="O4:O5" si="14">$B4*13</f>
        <v>-975000</v>
      </c>
      <c r="P4" s="12">
        <f t="shared" ref="P4:P5" si="15">$B4*14</f>
        <v>-1050000</v>
      </c>
      <c r="Q4" s="12">
        <f t="shared" ref="Q4:Q5" si="16">$B4*15</f>
        <v>-1125000</v>
      </c>
      <c r="R4" s="12">
        <f t="shared" ref="R4:R5" si="17">$B4*16</f>
        <v>-1200000</v>
      </c>
      <c r="S4" s="12">
        <f t="shared" ref="S4:S5" si="18">$B4*17</f>
        <v>-1275000</v>
      </c>
      <c r="T4" s="12">
        <f t="shared" ref="T4:T5" si="19">$B4*18</f>
        <v>-1350000</v>
      </c>
      <c r="U4" s="12">
        <f t="shared" ref="U4:U5" si="20">$B4*19</f>
        <v>-1425000</v>
      </c>
      <c r="V4" s="12">
        <f t="shared" ref="V4:V5" si="21">$B4*20</f>
        <v>-1500000</v>
      </c>
      <c r="W4" s="10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ht="21.75" customHeight="1">
      <c r="A5" s="7" t="s">
        <v>25</v>
      </c>
      <c r="B5" s="13">
        <f>-B4*0.5</f>
        <v>37500</v>
      </c>
      <c r="C5" s="13">
        <f t="shared" si="2"/>
        <v>37500</v>
      </c>
      <c r="D5" s="13">
        <f t="shared" si="3"/>
        <v>75000</v>
      </c>
      <c r="E5" s="13">
        <f t="shared" si="4"/>
        <v>112500</v>
      </c>
      <c r="F5" s="13">
        <f t="shared" si="5"/>
        <v>150000</v>
      </c>
      <c r="G5" s="13">
        <f t="shared" si="6"/>
        <v>187500</v>
      </c>
      <c r="H5" s="13">
        <f t="shared" si="7"/>
        <v>225000</v>
      </c>
      <c r="I5" s="13">
        <f t="shared" si="8"/>
        <v>262500</v>
      </c>
      <c r="J5" s="13">
        <f t="shared" si="9"/>
        <v>300000</v>
      </c>
      <c r="K5" s="13">
        <f t="shared" si="10"/>
        <v>337500</v>
      </c>
      <c r="L5" s="13">
        <f t="shared" si="11"/>
        <v>375000</v>
      </c>
      <c r="M5" s="13">
        <f t="shared" si="12"/>
        <v>412500</v>
      </c>
      <c r="N5" s="13">
        <f t="shared" si="13"/>
        <v>450000</v>
      </c>
      <c r="O5" s="13">
        <f t="shared" si="14"/>
        <v>487500</v>
      </c>
      <c r="P5" s="13">
        <f t="shared" si="15"/>
        <v>525000</v>
      </c>
      <c r="Q5" s="13">
        <f t="shared" si="16"/>
        <v>562500</v>
      </c>
      <c r="R5" s="13">
        <f t="shared" si="17"/>
        <v>600000</v>
      </c>
      <c r="S5" s="13">
        <f t="shared" si="18"/>
        <v>637500</v>
      </c>
      <c r="T5" s="13">
        <f t="shared" si="19"/>
        <v>675000</v>
      </c>
      <c r="U5" s="13">
        <f t="shared" si="20"/>
        <v>712500</v>
      </c>
      <c r="V5" s="13">
        <f t="shared" si="21"/>
        <v>750000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ht="21.75" customHeight="1">
      <c r="A6" s="14" t="s">
        <v>26</v>
      </c>
      <c r="B6" s="15">
        <v>0.3</v>
      </c>
      <c r="C6" s="16">
        <f>$C5+(C5*$B$6)</f>
        <v>48750</v>
      </c>
      <c r="D6" s="16">
        <f t="shared" ref="D6:V6" si="22">$C5+C6+(($C5+C6)*$B6)</f>
        <v>112125</v>
      </c>
      <c r="E6" s="16">
        <f t="shared" si="22"/>
        <v>194512.5</v>
      </c>
      <c r="F6" s="16">
        <f t="shared" si="22"/>
        <v>301616.25</v>
      </c>
      <c r="G6" s="16">
        <f t="shared" si="22"/>
        <v>440851.125</v>
      </c>
      <c r="H6" s="16">
        <f t="shared" si="22"/>
        <v>621856.4625</v>
      </c>
      <c r="I6" s="16">
        <f t="shared" si="22"/>
        <v>857163.4013</v>
      </c>
      <c r="J6" s="16">
        <f t="shared" si="22"/>
        <v>1163062.422</v>
      </c>
      <c r="K6" s="16">
        <f t="shared" si="22"/>
        <v>1560731.148</v>
      </c>
      <c r="L6" s="16">
        <f t="shared" si="22"/>
        <v>2077700.493</v>
      </c>
      <c r="M6" s="16">
        <f t="shared" si="22"/>
        <v>2749760.64</v>
      </c>
      <c r="N6" s="16">
        <f t="shared" si="22"/>
        <v>3623438.832</v>
      </c>
      <c r="O6" s="16">
        <f t="shared" si="22"/>
        <v>4759220.482</v>
      </c>
      <c r="P6" s="16">
        <f t="shared" si="22"/>
        <v>6235736.627</v>
      </c>
      <c r="Q6" s="16">
        <f t="shared" si="22"/>
        <v>8155207.615</v>
      </c>
      <c r="R6" s="16">
        <f t="shared" si="22"/>
        <v>10650519.9</v>
      </c>
      <c r="S6" s="16">
        <f t="shared" si="22"/>
        <v>13894425.87</v>
      </c>
      <c r="T6" s="16">
        <f t="shared" si="22"/>
        <v>18111503.63</v>
      </c>
      <c r="U6" s="16">
        <f t="shared" si="22"/>
        <v>23593704.72</v>
      </c>
      <c r="V6" s="16">
        <f t="shared" si="22"/>
        <v>30720566.13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ht="21.75" customHeight="1">
      <c r="A7" s="1"/>
      <c r="B7" s="1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ht="21.75" customHeight="1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ht="21.75" customHeight="1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ht="21.75" customHeight="1">
      <c r="A10" s="2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ht="21.75" customHeight="1">
      <c r="A11" s="2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ht="21.7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ht="21.75" customHeight="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ht="21.75" customHeight="1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ht="21.75" customHeight="1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ht="21.75" customHeight="1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ht="21.75" customHeight="1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ht="21.75" customHeight="1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ht="21.75" customHeight="1">
      <c r="A19" s="2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ht="21.75" customHeight="1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ht="21.75" customHeight="1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ht="21.75" customHeight="1">
      <c r="A22" s="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ht="21.75" customHeight="1">
      <c r="A23" s="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ht="21.75" customHeight="1">
      <c r="A24" s="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ht="21.75" customHeight="1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ht="21.75" customHeight="1">
      <c r="A26" s="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ht="21.75" customHeight="1">
      <c r="A27" s="1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ht="21.75" customHeight="1">
      <c r="A28" s="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ht="21.75" customHeight="1">
      <c r="A29" s="1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ht="21.75" customHeight="1">
      <c r="A30" s="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ht="21.75" customHeight="1">
      <c r="A31" s="1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ht="21.75" customHeight="1">
      <c r="A32" s="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ht="21.75" customHeight="1">
      <c r="A33" s="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ht="21.75" customHeight="1">
      <c r="A34" s="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ht="21.75" customHeight="1">
      <c r="A35" s="1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ht="21.75" customHeight="1">
      <c r="A36" s="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ht="21.75" customHeight="1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ht="21.75" customHeight="1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ht="21.75" customHeight="1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ht="21.75" customHeight="1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ht="21.75" customHeight="1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ht="21.75" customHeight="1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ht="21.75" customHeight="1">
      <c r="A43" s="1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ht="21.75" customHeight="1">
      <c r="A44" s="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ht="21.75" customHeight="1">
      <c r="A45" s="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ht="21.75" customHeight="1">
      <c r="A46" s="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ht="21.75" customHeight="1">
      <c r="A47" s="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ht="21.75" customHeight="1">
      <c r="A48" s="1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ht="21.75" customHeight="1">
      <c r="A49" s="1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ht="21.75" customHeight="1">
      <c r="A50" s="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ht="21.75" customHeight="1">
      <c r="A51" s="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ht="21.75" customHeight="1">
      <c r="A52" s="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ht="21.75" customHeight="1">
      <c r="A53" s="1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ht="21.75" customHeight="1">
      <c r="A54" s="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ht="21.75" customHeight="1">
      <c r="A55" s="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ht="21.75" customHeight="1">
      <c r="A56" s="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ht="21.75" customHeight="1">
      <c r="A57" s="1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ht="21.75" customHeight="1">
      <c r="A58" s="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ht="21.75" customHeight="1">
      <c r="A59" s="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ht="21.75" customHeight="1">
      <c r="A60" s="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ht="21.75" customHeight="1">
      <c r="A61" s="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ht="21.75" customHeight="1">
      <c r="A62" s="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ht="21.75" customHeight="1">
      <c r="A63" s="1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ht="21.75" customHeight="1">
      <c r="A64" s="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ht="21.75" customHeight="1">
      <c r="A65" s="1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ht="21.75" customHeight="1">
      <c r="A66" s="1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ht="21.75" customHeight="1">
      <c r="A67" s="1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ht="21.75" customHeight="1">
      <c r="A68" s="1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ht="21.75" customHeight="1">
      <c r="A69" s="1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ht="21.75" customHeight="1">
      <c r="A70" s="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ht="21.75" customHeight="1">
      <c r="A71" s="1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ht="21.75" customHeight="1">
      <c r="A72" s="1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ht="21.75" customHeight="1">
      <c r="A73" s="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ht="21.75" customHeight="1">
      <c r="A74" s="1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ht="21.75" customHeight="1">
      <c r="A75" s="1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ht="21.75" customHeight="1">
      <c r="A76" s="1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ht="21.75" customHeight="1">
      <c r="A77" s="1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ht="21.75" customHeight="1">
      <c r="A78" s="1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ht="21.75" customHeight="1">
      <c r="A79" s="1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ht="21.75" customHeight="1">
      <c r="A80" s="1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ht="21.75" customHeight="1">
      <c r="A81" s="1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ht="21.75" customHeight="1">
      <c r="A82" s="1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ht="21.75" customHeight="1">
      <c r="A83" s="1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ht="21.75" customHeight="1">
      <c r="A84" s="1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ht="21.75" customHeight="1">
      <c r="A85" s="1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ht="21.75" customHeight="1">
      <c r="A86" s="1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ht="21.75" customHeight="1">
      <c r="A87" s="1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ht="21.75" customHeight="1">
      <c r="A88" s="1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ht="21.75" customHeight="1">
      <c r="A89" s="1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ht="21.75" customHeight="1">
      <c r="A90" s="1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ht="21.75" customHeight="1">
      <c r="A91" s="1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ht="21.75" customHeight="1">
      <c r="A92" s="1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ht="21.75" customHeight="1">
      <c r="A93" s="1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ht="21.75" customHeight="1">
      <c r="A94" s="1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ht="21.75" customHeight="1">
      <c r="A95" s="1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ht="21.75" customHeight="1">
      <c r="A96" s="1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ht="21.75" customHeight="1">
      <c r="A97" s="1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ht="21.75" customHeight="1">
      <c r="A98" s="1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ht="21.75" customHeight="1">
      <c r="A99" s="1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ht="21.75" customHeight="1">
      <c r="A100" s="1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ht="21.75" customHeight="1">
      <c r="A101" s="1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ht="21.75" customHeight="1">
      <c r="A102" s="1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ht="21.75" customHeight="1">
      <c r="A103" s="1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ht="21.75" customHeight="1">
      <c r="A104" s="1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ht="21.75" customHeight="1">
      <c r="A105" s="1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ht="21.75" customHeight="1">
      <c r="A106" s="1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ht="21.75" customHeight="1">
      <c r="A107" s="1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ht="21.75" customHeight="1">
      <c r="A108" s="1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ht="21.75" customHeight="1">
      <c r="A109" s="1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ht="21.75" customHeight="1">
      <c r="A110" s="1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ht="21.75" customHeight="1">
      <c r="A111" s="1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ht="21.75" customHeight="1">
      <c r="A112" s="1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ht="21.75" customHeight="1">
      <c r="A113" s="1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ht="21.75" customHeight="1">
      <c r="A114" s="1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ht="21.75" customHeight="1">
      <c r="A115" s="1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ht="21.75" customHeight="1">
      <c r="A116" s="1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ht="21.75" customHeight="1">
      <c r="A117" s="1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ht="21.75" customHeight="1">
      <c r="A118" s="1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ht="21.75" customHeight="1">
      <c r="A119" s="1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ht="21.75" customHeight="1">
      <c r="A120" s="1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ht="21.75" customHeight="1">
      <c r="A121" s="1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ht="21.75" customHeight="1">
      <c r="A122" s="1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ht="21.75" customHeight="1">
      <c r="A123" s="1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ht="21.75" customHeight="1">
      <c r="A124" s="1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ht="21.75" customHeight="1">
      <c r="A125" s="1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ht="21.75" customHeight="1">
      <c r="A126" s="1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ht="21.75" customHeight="1">
      <c r="A127" s="1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ht="21.75" customHeight="1">
      <c r="A128" s="1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ht="21.75" customHeight="1">
      <c r="A129" s="1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ht="21.75" customHeight="1">
      <c r="A130" s="1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ht="21.75" customHeight="1">
      <c r="A131" s="1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ht="21.75" customHeight="1">
      <c r="A132" s="1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ht="21.75" customHeight="1">
      <c r="A133" s="1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ht="21.75" customHeight="1">
      <c r="A134" s="1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ht="21.75" customHeight="1">
      <c r="A135" s="1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ht="21.75" customHeight="1">
      <c r="A136" s="1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ht="21.75" customHeight="1">
      <c r="A137" s="1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ht="21.75" customHeight="1">
      <c r="A138" s="1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ht="21.75" customHeight="1">
      <c r="A139" s="1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ht="21.75" customHeight="1">
      <c r="A140" s="1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ht="21.75" customHeight="1">
      <c r="A141" s="1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ht="21.75" customHeight="1">
      <c r="A142" s="1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ht="21.75" customHeight="1">
      <c r="A143" s="1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ht="21.75" customHeight="1">
      <c r="A144" s="1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ht="21.75" customHeight="1">
      <c r="A145" s="1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ht="21.75" customHeight="1">
      <c r="A146" s="1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ht="21.75" customHeight="1">
      <c r="A147" s="1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ht="21.75" customHeight="1">
      <c r="A148" s="1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ht="21.75" customHeight="1">
      <c r="A149" s="1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ht="21.75" customHeight="1">
      <c r="A150" s="1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ht="21.75" customHeight="1">
      <c r="A151" s="1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ht="21.75" customHeight="1">
      <c r="A152" s="1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ht="21.75" customHeight="1">
      <c r="A153" s="1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ht="21.75" customHeight="1">
      <c r="A154" s="1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ht="21.75" customHeight="1">
      <c r="A155" s="1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ht="21.75" customHeight="1">
      <c r="A156" s="1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ht="21.75" customHeight="1">
      <c r="A157" s="1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ht="21.75" customHeight="1">
      <c r="A158" s="1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ht="21.75" customHeight="1">
      <c r="A159" s="1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ht="21.75" customHeight="1">
      <c r="A160" s="1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ht="21.75" customHeight="1">
      <c r="A161" s="1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ht="21.75" customHeight="1">
      <c r="A162" s="1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ht="21.75" customHeight="1">
      <c r="A163" s="1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ht="21.75" customHeight="1">
      <c r="A164" s="1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ht="21.75" customHeight="1">
      <c r="A165" s="1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ht="21.75" customHeight="1">
      <c r="A166" s="1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ht="21.75" customHeight="1">
      <c r="A167" s="1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ht="21.75" customHeight="1">
      <c r="A168" s="1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ht="21.75" customHeight="1">
      <c r="A169" s="1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ht="21.75" customHeight="1">
      <c r="A170" s="1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ht="21.75" customHeight="1">
      <c r="A171" s="1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ht="21.75" customHeight="1">
      <c r="A172" s="1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ht="21.75" customHeight="1">
      <c r="A173" s="1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ht="21.75" customHeight="1">
      <c r="A174" s="1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ht="21.75" customHeight="1">
      <c r="A175" s="1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ht="21.75" customHeight="1">
      <c r="A176" s="1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ht="21.75" customHeight="1">
      <c r="A177" s="1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ht="21.75" customHeight="1">
      <c r="A178" s="1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ht="21.75" customHeight="1">
      <c r="A179" s="1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ht="21.75" customHeight="1">
      <c r="A180" s="1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ht="21.75" customHeight="1">
      <c r="A181" s="1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ht="21.75" customHeight="1">
      <c r="A182" s="1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ht="21.75" customHeight="1">
      <c r="A183" s="1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ht="21.75" customHeight="1">
      <c r="A184" s="1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ht="21.75" customHeight="1">
      <c r="A185" s="1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ht="21.75" customHeight="1">
      <c r="A186" s="1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ht="21.75" customHeight="1">
      <c r="A187" s="1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ht="21.75" customHeight="1">
      <c r="A188" s="1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ht="21.75" customHeight="1">
      <c r="A189" s="1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ht="21.75" customHeight="1">
      <c r="A190" s="1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ht="21.75" customHeight="1">
      <c r="A191" s="1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ht="21.75" customHeight="1">
      <c r="A192" s="1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ht="21.75" customHeight="1">
      <c r="A193" s="1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ht="21.75" customHeight="1">
      <c r="A194" s="1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ht="21.75" customHeight="1">
      <c r="A195" s="1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ht="21.75" customHeight="1">
      <c r="A196" s="1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ht="21.75" customHeight="1">
      <c r="A197" s="1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ht="21.75" customHeight="1">
      <c r="A198" s="1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ht="21.75" customHeight="1">
      <c r="A199" s="1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ht="21.75" customHeight="1">
      <c r="A200" s="1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ht="21.75" customHeight="1">
      <c r="A201" s="1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ht="21.75" customHeight="1">
      <c r="A202" s="1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ht="21.75" customHeight="1">
      <c r="A203" s="1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ht="21.75" customHeight="1">
      <c r="A204" s="1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ht="21.75" customHeight="1">
      <c r="A205" s="1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ht="21.75" customHeight="1">
      <c r="A206" s="1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ht="21.75" customHeight="1">
      <c r="A207" s="1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ht="21.75" customHeight="1">
      <c r="A208" s="1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ht="21.75" customHeight="1">
      <c r="A209" s="1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ht="21.75" customHeight="1">
      <c r="A210" s="1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ht="21.75" customHeight="1">
      <c r="A211" s="1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ht="21.75" customHeight="1">
      <c r="A212" s="1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ht="21.75" customHeight="1">
      <c r="A213" s="1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ht="21.75" customHeight="1">
      <c r="A214" s="1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ht="21.75" customHeight="1">
      <c r="A215" s="1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ht="21.75" customHeight="1">
      <c r="A216" s="1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ht="21.75" customHeight="1">
      <c r="A217" s="1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ht="21.75" customHeight="1">
      <c r="A218" s="1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ht="21.75" customHeight="1">
      <c r="A219" s="1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ht="21.75" customHeight="1">
      <c r="A220" s="1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ht="21.75" customHeight="1">
      <c r="A221" s="1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B2:B4">
    <cfRule type="containsBlanks" dxfId="0" priority="1">
      <formula>LEN(TRIM(B2))=0</formula>
    </cfRule>
  </conditionalFormatting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 outlineLevelCol="1" outlineLevelRow="1"/>
  <cols>
    <col collapsed="1" customWidth="1" min="1" max="1" width="22.14"/>
    <col customWidth="1" hidden="1" min="2" max="2" width="20.29" outlineLevel="1"/>
    <col customWidth="1" min="3" max="5" width="20.29"/>
    <col customWidth="1" min="6" max="6" width="14.43"/>
  </cols>
  <sheetData>
    <row r="1">
      <c r="A1" s="23" t="s">
        <v>27</v>
      </c>
      <c r="B1" s="3" t="s">
        <v>28</v>
      </c>
      <c r="C1" s="3" t="s">
        <v>29</v>
      </c>
      <c r="D1" s="3" t="s">
        <v>30</v>
      </c>
      <c r="E1" s="2" t="s">
        <v>25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7" t="s">
        <v>31</v>
      </c>
      <c r="B2" s="24">
        <v>100000.0</v>
      </c>
      <c r="C2" s="25"/>
      <c r="D2" s="25"/>
      <c r="E2" s="26"/>
      <c r="F2" s="27" t="s">
        <v>32</v>
      </c>
      <c r="G2" s="22"/>
      <c r="H2" s="28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collapsed="1">
      <c r="A3" s="1" t="s">
        <v>33</v>
      </c>
      <c r="B3" s="29">
        <f>'Royal Elite'!B3</f>
        <v>0.25</v>
      </c>
      <c r="C3" s="25"/>
      <c r="D3" s="25"/>
      <c r="E3" s="26"/>
      <c r="F3" s="30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idden="1" outlineLevel="1">
      <c r="A4" s="1" t="s">
        <v>34</v>
      </c>
      <c r="B4" s="9"/>
      <c r="C4" s="9">
        <v>0.06</v>
      </c>
      <c r="D4" s="9">
        <v>0.15</v>
      </c>
      <c r="E4" s="9">
        <v>0.04</v>
      </c>
      <c r="F4" s="30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hidden="1" outlineLevel="1">
      <c r="A5" s="1" t="s">
        <v>35</v>
      </c>
      <c r="B5" s="9"/>
      <c r="C5" s="9">
        <v>0.06</v>
      </c>
      <c r="D5" s="9">
        <v>0.0</v>
      </c>
      <c r="E5" s="9">
        <v>0.16</v>
      </c>
      <c r="F5" s="30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hidden="1" outlineLevel="1">
      <c r="A6" s="1" t="s">
        <v>36</v>
      </c>
      <c r="B6" s="9"/>
      <c r="C6" s="9">
        <f>((B2*0.85)/27.5)/B2</f>
        <v>0.03090909091</v>
      </c>
      <c r="D6" s="9">
        <v>0.0</v>
      </c>
      <c r="E6" s="15">
        <v>0.5</v>
      </c>
      <c r="F6" s="30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1" t="s">
        <v>30</v>
      </c>
      <c r="B7" s="5">
        <f t="shared" ref="B7:E7" si="1">$B$2*B4</f>
        <v>0</v>
      </c>
      <c r="C7" s="5">
        <f t="shared" si="1"/>
        <v>6000</v>
      </c>
      <c r="D7" s="5">
        <f t="shared" si="1"/>
        <v>15000</v>
      </c>
      <c r="E7" s="5">
        <f t="shared" si="1"/>
        <v>4000</v>
      </c>
      <c r="F7" s="27" t="s">
        <v>37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1" t="s">
        <v>38</v>
      </c>
      <c r="B8" s="19"/>
      <c r="C8" s="5">
        <f t="shared" ref="C8:E8" si="2">$B$2*C5</f>
        <v>6000</v>
      </c>
      <c r="D8" s="5">
        <f t="shared" si="2"/>
        <v>0</v>
      </c>
      <c r="E8" s="5">
        <f t="shared" si="2"/>
        <v>16000</v>
      </c>
      <c r="F8" s="27" t="s">
        <v>39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collapsed="1">
      <c r="A9" s="1" t="s">
        <v>36</v>
      </c>
      <c r="B9" s="5">
        <f t="shared" ref="B9:E9" si="3">$B$2*B6*$B$3</f>
        <v>0</v>
      </c>
      <c r="C9" s="31">
        <f t="shared" si="3"/>
        <v>772.7272727</v>
      </c>
      <c r="D9" s="5">
        <f t="shared" si="3"/>
        <v>0</v>
      </c>
      <c r="E9" s="32">
        <f t="shared" si="3"/>
        <v>12500</v>
      </c>
      <c r="F9" s="27" t="s">
        <v>40</v>
      </c>
      <c r="G9" s="3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idden="1" outlineLevel="1">
      <c r="A10" s="1" t="s">
        <v>2</v>
      </c>
      <c r="B10" s="5">
        <f t="shared" ref="B10:D10" si="4">($B$2*B5)+B7+B9</f>
        <v>0</v>
      </c>
      <c r="C10" s="5">
        <f t="shared" si="4"/>
        <v>12772.72727</v>
      </c>
      <c r="D10" s="5">
        <f t="shared" si="4"/>
        <v>15000</v>
      </c>
      <c r="E10" s="5">
        <f>E7+E9</f>
        <v>16500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idden="1" outlineLevel="1">
      <c r="A11" s="1" t="s">
        <v>3</v>
      </c>
      <c r="B11" s="5">
        <f t="shared" ref="B11:B14" si="5">B10+$B$7</f>
        <v>0</v>
      </c>
      <c r="C11" s="5">
        <f t="shared" ref="C11:C14" si="6">C10+$C$10</f>
        <v>25545.45455</v>
      </c>
      <c r="D11" s="5">
        <f t="shared" ref="D11:D14" si="7">D10+$D$7</f>
        <v>30000</v>
      </c>
      <c r="E11" s="5">
        <f>E10+E7</f>
        <v>20500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idden="1" outlineLevel="1">
      <c r="A12" s="1" t="s">
        <v>4</v>
      </c>
      <c r="B12" s="5">
        <f t="shared" si="5"/>
        <v>0</v>
      </c>
      <c r="C12" s="5">
        <f t="shared" si="6"/>
        <v>38318.18182</v>
      </c>
      <c r="D12" s="5">
        <f t="shared" si="7"/>
        <v>45000</v>
      </c>
      <c r="E12" s="5">
        <f>E11+E7</f>
        <v>24500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idden="1" outlineLevel="1">
      <c r="A13" s="1" t="s">
        <v>5</v>
      </c>
      <c r="B13" s="5">
        <f t="shared" si="5"/>
        <v>0</v>
      </c>
      <c r="C13" s="5">
        <f t="shared" si="6"/>
        <v>51090.90909</v>
      </c>
      <c r="D13" s="5">
        <f t="shared" si="7"/>
        <v>60000</v>
      </c>
      <c r="E13" s="5">
        <f>E12+E7</f>
        <v>28500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>
      <c r="A14" s="1" t="s">
        <v>41</v>
      </c>
      <c r="B14" s="5">
        <f t="shared" si="5"/>
        <v>0</v>
      </c>
      <c r="C14" s="5">
        <f t="shared" si="6"/>
        <v>63863.63636</v>
      </c>
      <c r="D14" s="5">
        <f t="shared" si="7"/>
        <v>75000</v>
      </c>
      <c r="E14" s="5">
        <f>E13+E7+(E8*5)</f>
        <v>112500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E2"/>
    <mergeCell ref="B3:E3"/>
  </mergeCells>
  <conditionalFormatting sqref="B2:E2">
    <cfRule type="containsBlanks" dxfId="0" priority="1">
      <formula>LEN(TRIM(B2))=0</formula>
    </cfRule>
  </conditionalFormatting>
  <conditionalFormatting sqref="B3:E3">
    <cfRule type="containsBlanks" dxfId="0" priority="2">
      <formula>LEN(TRIM(B3))=0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14.86"/>
    <col customWidth="1" min="3" max="3" width="23.43"/>
    <col customWidth="1" min="4" max="5" width="15.43"/>
    <col customWidth="1" min="6" max="6" width="10.57"/>
    <col customWidth="1" min="7" max="16" width="9.14"/>
    <col customWidth="1" min="17" max="17" width="20.0"/>
    <col customWidth="1" min="18" max="18" width="15.43"/>
    <col customWidth="1" min="19" max="28" width="9.14"/>
  </cols>
  <sheetData>
    <row r="1" ht="14.25" customHeight="1">
      <c r="A1" s="34" t="s">
        <v>42</v>
      </c>
      <c r="B1" s="34"/>
      <c r="C1" s="34"/>
      <c r="D1" s="34"/>
      <c r="E1" s="35">
        <v>0.01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 t="str">
        <f>+A7</f>
        <v>Year</v>
      </c>
      <c r="Q1" s="34" t="s">
        <v>43</v>
      </c>
      <c r="R1" s="34" t="s">
        <v>44</v>
      </c>
      <c r="S1" s="34" t="s">
        <v>45</v>
      </c>
      <c r="T1" s="34"/>
      <c r="U1" s="34"/>
      <c r="V1" s="34"/>
      <c r="W1" s="34"/>
      <c r="X1" s="34"/>
      <c r="Y1" s="34"/>
      <c r="Z1" s="34"/>
      <c r="AA1" s="34"/>
      <c r="AB1" s="34"/>
    </row>
    <row r="2" ht="14.25" customHeight="1">
      <c r="A2" s="34" t="s">
        <v>46</v>
      </c>
      <c r="B2" s="34"/>
      <c r="C2" s="34"/>
      <c r="D2" s="34"/>
      <c r="E2" s="35">
        <v>0.2</v>
      </c>
      <c r="F2" s="34" t="s">
        <v>47</v>
      </c>
      <c r="G2" s="34"/>
      <c r="H2" s="34"/>
      <c r="I2" s="34"/>
      <c r="J2" s="34"/>
      <c r="K2" s="34"/>
      <c r="L2" s="34"/>
      <c r="M2" s="34"/>
      <c r="N2" s="34"/>
      <c r="O2" s="34"/>
      <c r="P2" s="34">
        <v>1.0</v>
      </c>
      <c r="Q2" s="36">
        <f>+F8</f>
        <v>22500</v>
      </c>
      <c r="R2" s="36">
        <f>+D8*-1</f>
        <v>-22500</v>
      </c>
      <c r="S2" s="36">
        <f>+'Tax Strategies'!G61</f>
        <v>10138.4</v>
      </c>
      <c r="T2" s="34">
        <v>0.0</v>
      </c>
      <c r="U2" s="34"/>
      <c r="V2" s="34"/>
      <c r="W2" s="34"/>
      <c r="X2" s="34"/>
      <c r="Y2" s="34"/>
      <c r="Z2" s="34"/>
      <c r="AA2" s="34"/>
      <c r="AB2" s="34"/>
    </row>
    <row r="3" ht="14.25" customHeight="1">
      <c r="A3" s="34" t="s">
        <v>48</v>
      </c>
      <c r="B3" s="34"/>
      <c r="C3" s="34"/>
      <c r="D3" s="34"/>
      <c r="E3" s="36">
        <f>+'Tax Strategies'!G69</f>
        <v>22500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>
        <v>5.0</v>
      </c>
      <c r="Q3" s="36">
        <f>+F12</f>
        <v>170207.7572</v>
      </c>
      <c r="R3" s="36">
        <f>+D12*-1</f>
        <v>-114772.6127</v>
      </c>
      <c r="S3" s="36">
        <f>SUM(AB8:AB12)</f>
        <v>53826.1425</v>
      </c>
      <c r="T3" s="34">
        <v>0.0</v>
      </c>
      <c r="U3" s="34"/>
      <c r="V3" s="34"/>
      <c r="W3" s="34"/>
      <c r="X3" s="34"/>
      <c r="Y3" s="34"/>
      <c r="Z3" s="34"/>
      <c r="AA3" s="34"/>
      <c r="AB3" s="34"/>
    </row>
    <row r="4" ht="14.25" customHeight="1">
      <c r="A4" s="34" t="s">
        <v>0</v>
      </c>
      <c r="B4" s="34"/>
      <c r="C4" s="34"/>
      <c r="D4" s="34"/>
      <c r="E4" s="36">
        <v>19350.0</v>
      </c>
      <c r="F4" s="37" t="s">
        <v>49</v>
      </c>
      <c r="G4" s="34"/>
      <c r="H4" s="34"/>
      <c r="I4" s="34"/>
      <c r="J4" s="34"/>
      <c r="K4" s="34"/>
      <c r="L4" s="34"/>
      <c r="M4" s="34"/>
      <c r="N4" s="34"/>
      <c r="O4" s="34"/>
      <c r="P4" s="34">
        <v>10.0</v>
      </c>
      <c r="Q4" s="36">
        <f>+F17</f>
        <v>602421.4299</v>
      </c>
      <c r="R4" s="36">
        <f>+D17*-1</f>
        <v>-235399.7822</v>
      </c>
      <c r="S4" s="36">
        <f>SUM(AB8:AB17)</f>
        <v>116225.394</v>
      </c>
      <c r="T4" s="34">
        <v>0.0</v>
      </c>
      <c r="U4" s="34"/>
      <c r="V4" s="34"/>
      <c r="W4" s="34"/>
      <c r="X4" s="34"/>
      <c r="Y4" s="34"/>
      <c r="Z4" s="34"/>
      <c r="AA4" s="34"/>
      <c r="AB4" s="34"/>
    </row>
    <row r="5" ht="14.25" customHeight="1">
      <c r="A5" s="34" t="s">
        <v>50</v>
      </c>
      <c r="B5" s="34"/>
      <c r="C5" s="34"/>
      <c r="D5" s="34"/>
      <c r="E5" s="36">
        <f>+'Tax Strategies'!E95</f>
        <v>0</v>
      </c>
      <c r="F5" s="37" t="s">
        <v>49</v>
      </c>
      <c r="G5" s="34"/>
      <c r="H5" s="34"/>
      <c r="I5" s="34"/>
      <c r="J5" s="34"/>
      <c r="K5" s="34"/>
      <c r="L5" s="34"/>
      <c r="M5" s="34"/>
      <c r="N5" s="34"/>
      <c r="O5" s="34"/>
      <c r="P5" s="34">
        <v>15.0</v>
      </c>
      <c r="Q5" s="36">
        <f>+F22</f>
        <v>1687032.547</v>
      </c>
      <c r="R5" s="36">
        <f>+D22*-1</f>
        <v>-362180.1496</v>
      </c>
      <c r="S5" s="36">
        <f>SUM(AB8:AB22)</f>
        <v>188563.2285</v>
      </c>
      <c r="T5" s="34">
        <v>0.0</v>
      </c>
      <c r="U5" s="34"/>
      <c r="V5" s="34"/>
      <c r="W5" s="34"/>
      <c r="X5" s="34"/>
      <c r="Y5" s="34"/>
      <c r="Z5" s="34"/>
      <c r="AA5" s="34"/>
      <c r="AB5" s="34"/>
    </row>
    <row r="6" ht="14.2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>
        <v>20.0</v>
      </c>
      <c r="Q6" s="36">
        <f>+F27</f>
        <v>4395482.749</v>
      </c>
      <c r="R6" s="36">
        <f>+D27*-1</f>
        <v>-495427.5899</v>
      </c>
      <c r="S6" s="36">
        <f>SUM(AB8:AB27)</f>
        <v>272422.6047</v>
      </c>
      <c r="T6" s="34">
        <v>0.0</v>
      </c>
      <c r="U6" s="34"/>
      <c r="V6" s="34"/>
      <c r="W6" s="34"/>
      <c r="X6" s="34"/>
      <c r="Y6" s="34"/>
      <c r="Z6" s="34"/>
      <c r="AA6" s="34"/>
      <c r="AB6" s="34"/>
    </row>
    <row r="7" ht="14.25" customHeight="1">
      <c r="A7" s="38" t="s">
        <v>51</v>
      </c>
      <c r="B7" s="38" t="s">
        <v>52</v>
      </c>
      <c r="C7" s="38" t="s">
        <v>25</v>
      </c>
      <c r="D7" s="34" t="s">
        <v>53</v>
      </c>
      <c r="E7" s="34" t="s">
        <v>54</v>
      </c>
      <c r="F7" s="39" t="s">
        <v>55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ht="14.25" customHeight="1">
      <c r="A8" s="34" t="s">
        <v>56</v>
      </c>
      <c r="B8" s="36">
        <f>+$E$4</f>
        <v>19350</v>
      </c>
      <c r="C8" s="36">
        <f>+E3</f>
        <v>22500</v>
      </c>
      <c r="D8" s="36">
        <f>+C8</f>
        <v>22500</v>
      </c>
      <c r="E8" s="36">
        <f t="shared" ref="E8:E27" si="1">-F8</f>
        <v>-22500</v>
      </c>
      <c r="F8" s="40">
        <f t="shared" ref="F8:F27" si="2">SUM(G8:Z8)</f>
        <v>22500</v>
      </c>
      <c r="G8" s="36">
        <f>+C8</f>
        <v>22500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6">
        <f>+S2</f>
        <v>10138.4</v>
      </c>
    </row>
    <row r="9" ht="14.25" customHeight="1">
      <c r="A9" s="34" t="s">
        <v>57</v>
      </c>
      <c r="B9" s="36">
        <f t="shared" ref="B9:B26" si="3">+B8+$E$5</f>
        <v>19350</v>
      </c>
      <c r="C9" s="36">
        <f t="shared" ref="C9:C27" si="4">+C8*(1+$E$1)</f>
        <v>22725</v>
      </c>
      <c r="D9" s="36">
        <f t="shared" ref="D9:D27" si="5">+C9+D8</f>
        <v>45225</v>
      </c>
      <c r="E9" s="36">
        <f t="shared" si="1"/>
        <v>-49725</v>
      </c>
      <c r="F9" s="40">
        <f t="shared" si="2"/>
        <v>49725</v>
      </c>
      <c r="G9" s="36">
        <f t="shared" ref="G9:G27" si="6">+G8*(1+$E$2)</f>
        <v>27000</v>
      </c>
      <c r="H9" s="36">
        <f>+C9</f>
        <v>22725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>
        <f t="shared" ref="AB9:AB27" si="7">+AB8*1.03</f>
        <v>10442.552</v>
      </c>
    </row>
    <row r="10" ht="14.25" customHeight="1">
      <c r="A10" s="34" t="s">
        <v>58</v>
      </c>
      <c r="B10" s="36">
        <f t="shared" si="3"/>
        <v>19350</v>
      </c>
      <c r="C10" s="36">
        <f t="shared" si="4"/>
        <v>22952.25</v>
      </c>
      <c r="D10" s="36">
        <f t="shared" si="5"/>
        <v>68177.25</v>
      </c>
      <c r="E10" s="36">
        <f t="shared" si="1"/>
        <v>-82622.25</v>
      </c>
      <c r="F10" s="40">
        <f t="shared" si="2"/>
        <v>82622.25</v>
      </c>
      <c r="G10" s="36">
        <f t="shared" si="6"/>
        <v>32400</v>
      </c>
      <c r="H10" s="36">
        <f t="shared" ref="H10:H27" si="8">+H9*(1+$E$2)</f>
        <v>27270</v>
      </c>
      <c r="I10" s="36">
        <f>+C10</f>
        <v>22952.25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>
        <f t="shared" si="7"/>
        <v>10755.82856</v>
      </c>
    </row>
    <row r="11" ht="14.25" customHeight="1">
      <c r="A11" s="34" t="s">
        <v>59</v>
      </c>
      <c r="B11" s="36">
        <f t="shared" si="3"/>
        <v>19350</v>
      </c>
      <c r="C11" s="36">
        <f t="shared" si="4"/>
        <v>23181.7725</v>
      </c>
      <c r="D11" s="36">
        <f t="shared" si="5"/>
        <v>91359.0225</v>
      </c>
      <c r="E11" s="36">
        <f t="shared" si="1"/>
        <v>-122328.4725</v>
      </c>
      <c r="F11" s="40">
        <f t="shared" si="2"/>
        <v>122328.4725</v>
      </c>
      <c r="G11" s="36">
        <f t="shared" si="6"/>
        <v>38880</v>
      </c>
      <c r="H11" s="36">
        <f t="shared" si="8"/>
        <v>32724</v>
      </c>
      <c r="I11" s="36">
        <f t="shared" ref="I11:I27" si="9">+I10*(1+$E$2)</f>
        <v>27542.7</v>
      </c>
      <c r="J11" s="36">
        <f>+C11</f>
        <v>23181.7725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>
        <f t="shared" si="7"/>
        <v>11078.50342</v>
      </c>
    </row>
    <row r="12" ht="14.25" customHeight="1">
      <c r="A12" s="34" t="s">
        <v>60</v>
      </c>
      <c r="B12" s="36">
        <f t="shared" si="3"/>
        <v>19350</v>
      </c>
      <c r="C12" s="36">
        <f t="shared" si="4"/>
        <v>23413.59023</v>
      </c>
      <c r="D12" s="36">
        <f t="shared" si="5"/>
        <v>114772.6127</v>
      </c>
      <c r="E12" s="36">
        <f t="shared" si="1"/>
        <v>-170207.7572</v>
      </c>
      <c r="F12" s="40">
        <f t="shared" si="2"/>
        <v>170207.7572</v>
      </c>
      <c r="G12" s="36">
        <f t="shared" si="6"/>
        <v>46656</v>
      </c>
      <c r="H12" s="36">
        <f t="shared" si="8"/>
        <v>39268.8</v>
      </c>
      <c r="I12" s="36">
        <f t="shared" si="9"/>
        <v>33051.24</v>
      </c>
      <c r="J12" s="36">
        <f t="shared" ref="J12:J27" si="10">+J11*(1+$E$2)</f>
        <v>27818.127</v>
      </c>
      <c r="K12" s="36">
        <f>+C12</f>
        <v>23413.59023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>
        <f t="shared" si="7"/>
        <v>11410.85852</v>
      </c>
    </row>
    <row r="13" ht="14.25" customHeight="1">
      <c r="A13" s="34" t="s">
        <v>61</v>
      </c>
      <c r="B13" s="36">
        <f t="shared" si="3"/>
        <v>19350</v>
      </c>
      <c r="C13" s="36">
        <f t="shared" si="4"/>
        <v>23647.72613</v>
      </c>
      <c r="D13" s="36">
        <f t="shared" si="5"/>
        <v>138420.3389</v>
      </c>
      <c r="E13" s="36">
        <f t="shared" si="1"/>
        <v>-227897.0348</v>
      </c>
      <c r="F13" s="40">
        <f t="shared" si="2"/>
        <v>227897.0348</v>
      </c>
      <c r="G13" s="36">
        <f t="shared" si="6"/>
        <v>55987.2</v>
      </c>
      <c r="H13" s="36">
        <f t="shared" si="8"/>
        <v>47122.56</v>
      </c>
      <c r="I13" s="36">
        <f t="shared" si="9"/>
        <v>39661.488</v>
      </c>
      <c r="J13" s="36">
        <f t="shared" si="10"/>
        <v>33381.7524</v>
      </c>
      <c r="K13" s="36">
        <f t="shared" ref="K13:K27" si="11">+K12*(1+$E$2)</f>
        <v>28096.30827</v>
      </c>
      <c r="L13" s="36">
        <f>+C13</f>
        <v>23647.72613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>
        <f t="shared" si="7"/>
        <v>11753.18427</v>
      </c>
    </row>
    <row r="14" ht="14.25" customHeight="1">
      <c r="A14" s="34" t="s">
        <v>62</v>
      </c>
      <c r="B14" s="36">
        <f t="shared" si="3"/>
        <v>19350</v>
      </c>
      <c r="C14" s="36">
        <f t="shared" si="4"/>
        <v>23884.20339</v>
      </c>
      <c r="D14" s="36">
        <f t="shared" si="5"/>
        <v>162304.5422</v>
      </c>
      <c r="E14" s="36">
        <f t="shared" si="1"/>
        <v>-297360.6451</v>
      </c>
      <c r="F14" s="40">
        <f t="shared" si="2"/>
        <v>297360.6451</v>
      </c>
      <c r="G14" s="36">
        <f t="shared" si="6"/>
        <v>67184.64</v>
      </c>
      <c r="H14" s="36">
        <f t="shared" si="8"/>
        <v>56547.072</v>
      </c>
      <c r="I14" s="36">
        <f t="shared" si="9"/>
        <v>47593.7856</v>
      </c>
      <c r="J14" s="36">
        <f t="shared" si="10"/>
        <v>40058.10288</v>
      </c>
      <c r="K14" s="36">
        <f t="shared" si="11"/>
        <v>33715.56992</v>
      </c>
      <c r="L14" s="36">
        <f t="shared" ref="L14:L27" si="12">+L13*(1+$E$2)</f>
        <v>28377.27135</v>
      </c>
      <c r="M14" s="36">
        <f>+C14</f>
        <v>23884.20339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>
        <f t="shared" si="7"/>
        <v>12105.7798</v>
      </c>
    </row>
    <row r="15" ht="14.25" customHeight="1">
      <c r="A15" s="34" t="s">
        <v>63</v>
      </c>
      <c r="B15" s="36">
        <f t="shared" si="3"/>
        <v>19350</v>
      </c>
      <c r="C15" s="36">
        <f t="shared" si="4"/>
        <v>24123.04542</v>
      </c>
      <c r="D15" s="36">
        <f t="shared" si="5"/>
        <v>186427.5877</v>
      </c>
      <c r="E15" s="36">
        <f t="shared" si="1"/>
        <v>-380955.8196</v>
      </c>
      <c r="F15" s="40">
        <f t="shared" si="2"/>
        <v>380955.8196</v>
      </c>
      <c r="G15" s="36">
        <f t="shared" si="6"/>
        <v>80621.568</v>
      </c>
      <c r="H15" s="36">
        <f t="shared" si="8"/>
        <v>67856.4864</v>
      </c>
      <c r="I15" s="36">
        <f t="shared" si="9"/>
        <v>57112.54272</v>
      </c>
      <c r="J15" s="36">
        <f t="shared" si="10"/>
        <v>48069.72346</v>
      </c>
      <c r="K15" s="36">
        <f t="shared" si="11"/>
        <v>40458.68391</v>
      </c>
      <c r="L15" s="36">
        <f t="shared" si="12"/>
        <v>34052.72562</v>
      </c>
      <c r="M15" s="36">
        <f t="shared" ref="M15:M27" si="13">+M14*(1+$E$2)</f>
        <v>28661.04407</v>
      </c>
      <c r="N15" s="36">
        <f>+C15</f>
        <v>24123.04542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>
        <f t="shared" si="7"/>
        <v>12468.9532</v>
      </c>
    </row>
    <row r="16" ht="14.25" customHeight="1">
      <c r="A16" s="34" t="s">
        <v>64</v>
      </c>
      <c r="B16" s="36">
        <f t="shared" si="3"/>
        <v>19350</v>
      </c>
      <c r="C16" s="36">
        <f t="shared" si="4"/>
        <v>24364.27588</v>
      </c>
      <c r="D16" s="36">
        <f t="shared" si="5"/>
        <v>210791.8635</v>
      </c>
      <c r="E16" s="36">
        <f t="shared" si="1"/>
        <v>-481511.2594</v>
      </c>
      <c r="F16" s="40">
        <f t="shared" si="2"/>
        <v>481511.2594</v>
      </c>
      <c r="G16" s="36">
        <f t="shared" si="6"/>
        <v>96745.8816</v>
      </c>
      <c r="H16" s="36">
        <f t="shared" si="8"/>
        <v>81427.78368</v>
      </c>
      <c r="I16" s="36">
        <f t="shared" si="9"/>
        <v>68535.05126</v>
      </c>
      <c r="J16" s="36">
        <f t="shared" si="10"/>
        <v>57683.66815</v>
      </c>
      <c r="K16" s="36">
        <f t="shared" si="11"/>
        <v>48550.42069</v>
      </c>
      <c r="L16" s="36">
        <f t="shared" si="12"/>
        <v>40863.27075</v>
      </c>
      <c r="M16" s="36">
        <f t="shared" si="13"/>
        <v>34393.25288</v>
      </c>
      <c r="N16" s="36">
        <f t="shared" ref="N16:N27" si="14">+N15*(1+$E$2)</f>
        <v>28947.65451</v>
      </c>
      <c r="O16" s="36">
        <f>+C16</f>
        <v>24364.27588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>
        <f t="shared" si="7"/>
        <v>12843.02179</v>
      </c>
    </row>
    <row r="17" ht="14.25" customHeight="1">
      <c r="A17" s="34" t="s">
        <v>65</v>
      </c>
      <c r="B17" s="36">
        <f t="shared" si="3"/>
        <v>19350</v>
      </c>
      <c r="C17" s="36">
        <f t="shared" si="4"/>
        <v>24607.91864</v>
      </c>
      <c r="D17" s="36">
        <f t="shared" si="5"/>
        <v>235399.7822</v>
      </c>
      <c r="E17" s="36">
        <f t="shared" si="1"/>
        <v>-602421.4299</v>
      </c>
      <c r="F17" s="40">
        <f t="shared" si="2"/>
        <v>602421.4299</v>
      </c>
      <c r="G17" s="36">
        <f t="shared" si="6"/>
        <v>116095.0579</v>
      </c>
      <c r="H17" s="36">
        <f t="shared" si="8"/>
        <v>97713.34042</v>
      </c>
      <c r="I17" s="36">
        <f t="shared" si="9"/>
        <v>82242.06152</v>
      </c>
      <c r="J17" s="36">
        <f t="shared" si="10"/>
        <v>69220.40178</v>
      </c>
      <c r="K17" s="36">
        <f t="shared" si="11"/>
        <v>58260.50483</v>
      </c>
      <c r="L17" s="36">
        <f t="shared" si="12"/>
        <v>49035.9249</v>
      </c>
      <c r="M17" s="36">
        <f t="shared" si="13"/>
        <v>41271.90346</v>
      </c>
      <c r="N17" s="36">
        <f t="shared" si="14"/>
        <v>34737.18541</v>
      </c>
      <c r="O17" s="36">
        <f t="shared" ref="O17:O27" si="15">+O16*(1+$E$2)</f>
        <v>29237.13105</v>
      </c>
      <c r="P17" s="36">
        <f>+C17</f>
        <v>24607.91864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>
        <f t="shared" si="7"/>
        <v>13228.31245</v>
      </c>
    </row>
    <row r="18" ht="14.25" customHeight="1">
      <c r="A18" s="34" t="s">
        <v>66</v>
      </c>
      <c r="B18" s="36">
        <f t="shared" si="3"/>
        <v>19350</v>
      </c>
      <c r="C18" s="36">
        <f t="shared" si="4"/>
        <v>24853.99782</v>
      </c>
      <c r="D18" s="36">
        <f t="shared" si="5"/>
        <v>260253.78</v>
      </c>
      <c r="E18" s="36">
        <f t="shared" si="1"/>
        <v>-747759.7137</v>
      </c>
      <c r="F18" s="40">
        <f t="shared" si="2"/>
        <v>747759.7137</v>
      </c>
      <c r="G18" s="36">
        <f t="shared" si="6"/>
        <v>139314.0695</v>
      </c>
      <c r="H18" s="36">
        <f t="shared" si="8"/>
        <v>117256.0085</v>
      </c>
      <c r="I18" s="36">
        <f t="shared" si="9"/>
        <v>98690.47382</v>
      </c>
      <c r="J18" s="36">
        <f t="shared" si="10"/>
        <v>83064.48213</v>
      </c>
      <c r="K18" s="36">
        <f t="shared" si="11"/>
        <v>69912.60579</v>
      </c>
      <c r="L18" s="36">
        <f t="shared" si="12"/>
        <v>58843.10988</v>
      </c>
      <c r="M18" s="36">
        <f t="shared" si="13"/>
        <v>49526.28415</v>
      </c>
      <c r="N18" s="36">
        <f t="shared" si="14"/>
        <v>41684.62249</v>
      </c>
      <c r="O18" s="36">
        <f t="shared" si="15"/>
        <v>35084.55726</v>
      </c>
      <c r="P18" s="36">
        <f t="shared" ref="P18:P27" si="16">+P17*(1+$E$2)</f>
        <v>29529.50236</v>
      </c>
      <c r="Q18" s="36">
        <f>+C18</f>
        <v>24853.99782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>
        <f t="shared" si="7"/>
        <v>13625.16182</v>
      </c>
    </row>
    <row r="19" ht="14.25" customHeight="1">
      <c r="A19" s="34" t="s">
        <v>67</v>
      </c>
      <c r="B19" s="36">
        <f t="shared" si="3"/>
        <v>19350</v>
      </c>
      <c r="C19" s="36">
        <f t="shared" si="4"/>
        <v>25102.5378</v>
      </c>
      <c r="D19" s="36">
        <f t="shared" si="5"/>
        <v>285356.3178</v>
      </c>
      <c r="E19" s="36">
        <f t="shared" si="1"/>
        <v>-922414.1943</v>
      </c>
      <c r="F19" s="40">
        <f t="shared" si="2"/>
        <v>922414.1943</v>
      </c>
      <c r="G19" s="36">
        <f t="shared" si="6"/>
        <v>167176.8834</v>
      </c>
      <c r="H19" s="36">
        <f t="shared" si="8"/>
        <v>140707.2102</v>
      </c>
      <c r="I19" s="36">
        <f t="shared" si="9"/>
        <v>118428.5686</v>
      </c>
      <c r="J19" s="36">
        <f t="shared" si="10"/>
        <v>99677.37856</v>
      </c>
      <c r="K19" s="36">
        <f t="shared" si="11"/>
        <v>83895.12695</v>
      </c>
      <c r="L19" s="36">
        <f t="shared" si="12"/>
        <v>70611.73185</v>
      </c>
      <c r="M19" s="36">
        <f t="shared" si="13"/>
        <v>59431.54098</v>
      </c>
      <c r="N19" s="36">
        <f t="shared" si="14"/>
        <v>50021.54699</v>
      </c>
      <c r="O19" s="36">
        <f t="shared" si="15"/>
        <v>42101.46871</v>
      </c>
      <c r="P19" s="36">
        <f t="shared" si="16"/>
        <v>35435.40283</v>
      </c>
      <c r="Q19" s="36">
        <f t="shared" ref="Q19:Q27" si="17">+Q18*(1+$E$2)</f>
        <v>29824.79739</v>
      </c>
      <c r="R19" s="36">
        <f>+C19</f>
        <v>25102.5378</v>
      </c>
      <c r="S19" s="34"/>
      <c r="T19" s="34"/>
      <c r="U19" s="34"/>
      <c r="V19" s="34"/>
      <c r="W19" s="34"/>
      <c r="X19" s="34"/>
      <c r="Y19" s="34"/>
      <c r="Z19" s="34"/>
      <c r="AA19" s="34"/>
      <c r="AB19" s="34">
        <f t="shared" si="7"/>
        <v>14033.91667</v>
      </c>
    </row>
    <row r="20" ht="14.25" customHeight="1">
      <c r="A20" s="34" t="s">
        <v>68</v>
      </c>
      <c r="B20" s="36">
        <f t="shared" si="3"/>
        <v>19350</v>
      </c>
      <c r="C20" s="36">
        <f t="shared" si="4"/>
        <v>25353.56318</v>
      </c>
      <c r="D20" s="36">
        <f t="shared" si="5"/>
        <v>310709.881</v>
      </c>
      <c r="E20" s="36">
        <f t="shared" si="1"/>
        <v>-1132250.596</v>
      </c>
      <c r="F20" s="40">
        <f t="shared" si="2"/>
        <v>1132250.596</v>
      </c>
      <c r="G20" s="36">
        <f t="shared" si="6"/>
        <v>200612.2601</v>
      </c>
      <c r="H20" s="36">
        <f t="shared" si="8"/>
        <v>168848.6522</v>
      </c>
      <c r="I20" s="36">
        <f t="shared" si="9"/>
        <v>142114.2823</v>
      </c>
      <c r="J20" s="36">
        <f t="shared" si="10"/>
        <v>119612.8543</v>
      </c>
      <c r="K20" s="36">
        <f t="shared" si="11"/>
        <v>100674.1523</v>
      </c>
      <c r="L20" s="36">
        <f t="shared" si="12"/>
        <v>84734.07822</v>
      </c>
      <c r="M20" s="36">
        <f t="shared" si="13"/>
        <v>71317.84917</v>
      </c>
      <c r="N20" s="36">
        <f t="shared" si="14"/>
        <v>60025.85639</v>
      </c>
      <c r="O20" s="36">
        <f t="shared" si="15"/>
        <v>50521.76246</v>
      </c>
      <c r="P20" s="36">
        <f t="shared" si="16"/>
        <v>42522.4834</v>
      </c>
      <c r="Q20" s="36">
        <f t="shared" si="17"/>
        <v>35789.75686</v>
      </c>
      <c r="R20" s="36">
        <f t="shared" ref="R20:R27" si="18">+R19*(1+$E$2)</f>
        <v>30123.04536</v>
      </c>
      <c r="S20" s="36">
        <f>+C20</f>
        <v>25353.56318</v>
      </c>
      <c r="T20" s="34"/>
      <c r="U20" s="34"/>
      <c r="V20" s="34"/>
      <c r="W20" s="34"/>
      <c r="X20" s="34"/>
      <c r="Y20" s="34"/>
      <c r="Z20" s="34"/>
      <c r="AA20" s="34"/>
      <c r="AB20" s="34">
        <f t="shared" si="7"/>
        <v>14454.93418</v>
      </c>
    </row>
    <row r="21" ht="14.25" customHeight="1">
      <c r="A21" s="34" t="s">
        <v>69</v>
      </c>
      <c r="B21" s="36">
        <f t="shared" si="3"/>
        <v>19350</v>
      </c>
      <c r="C21" s="36">
        <f t="shared" si="4"/>
        <v>25607.09881</v>
      </c>
      <c r="D21" s="36">
        <f t="shared" si="5"/>
        <v>336316.9798</v>
      </c>
      <c r="E21" s="36">
        <f t="shared" si="1"/>
        <v>-1384307.814</v>
      </c>
      <c r="F21" s="40">
        <f t="shared" si="2"/>
        <v>1384307.814</v>
      </c>
      <c r="G21" s="36">
        <f t="shared" si="6"/>
        <v>240734.7121</v>
      </c>
      <c r="H21" s="36">
        <f t="shared" si="8"/>
        <v>202618.3827</v>
      </c>
      <c r="I21" s="36">
        <f t="shared" si="9"/>
        <v>170537.1388</v>
      </c>
      <c r="J21" s="36">
        <f t="shared" si="10"/>
        <v>143535.4251</v>
      </c>
      <c r="K21" s="36">
        <f t="shared" si="11"/>
        <v>120808.9828</v>
      </c>
      <c r="L21" s="36">
        <f t="shared" si="12"/>
        <v>101680.8939</v>
      </c>
      <c r="M21" s="36">
        <f t="shared" si="13"/>
        <v>85581.41901</v>
      </c>
      <c r="N21" s="36">
        <f t="shared" si="14"/>
        <v>72031.02766</v>
      </c>
      <c r="O21" s="36">
        <f t="shared" si="15"/>
        <v>60626.11495</v>
      </c>
      <c r="P21" s="36">
        <f t="shared" si="16"/>
        <v>51026.98008</v>
      </c>
      <c r="Q21" s="36">
        <f t="shared" si="17"/>
        <v>42947.70824</v>
      </c>
      <c r="R21" s="36">
        <f t="shared" si="18"/>
        <v>36147.65443</v>
      </c>
      <c r="S21" s="36">
        <f t="shared" ref="S21:S27" si="19">+S20*(1+$E$2)</f>
        <v>30424.27581</v>
      </c>
      <c r="T21" s="36">
        <f>+C21</f>
        <v>25607.09881</v>
      </c>
      <c r="U21" s="34"/>
      <c r="V21" s="34"/>
      <c r="W21" s="34"/>
      <c r="X21" s="34"/>
      <c r="Y21" s="34"/>
      <c r="Z21" s="34"/>
      <c r="AA21" s="34"/>
      <c r="AB21" s="34">
        <f t="shared" si="7"/>
        <v>14888.5822</v>
      </c>
    </row>
    <row r="22" ht="14.25" customHeight="1">
      <c r="A22" s="34" t="s">
        <v>70</v>
      </c>
      <c r="B22" s="36">
        <f t="shared" si="3"/>
        <v>19350</v>
      </c>
      <c r="C22" s="36">
        <f t="shared" si="4"/>
        <v>25863.1698</v>
      </c>
      <c r="D22" s="36">
        <f t="shared" si="5"/>
        <v>362180.1496</v>
      </c>
      <c r="E22" s="36">
        <f t="shared" si="1"/>
        <v>-1687032.547</v>
      </c>
      <c r="F22" s="40">
        <f t="shared" si="2"/>
        <v>1687032.547</v>
      </c>
      <c r="G22" s="36">
        <f t="shared" si="6"/>
        <v>288881.6545</v>
      </c>
      <c r="H22" s="36">
        <f t="shared" si="8"/>
        <v>243142.0592</v>
      </c>
      <c r="I22" s="36">
        <f t="shared" si="9"/>
        <v>204644.5665</v>
      </c>
      <c r="J22" s="36">
        <f t="shared" si="10"/>
        <v>172242.5101</v>
      </c>
      <c r="K22" s="36">
        <f t="shared" si="11"/>
        <v>144970.7794</v>
      </c>
      <c r="L22" s="36">
        <f t="shared" si="12"/>
        <v>122017.0726</v>
      </c>
      <c r="M22" s="36">
        <f t="shared" si="13"/>
        <v>102697.7028</v>
      </c>
      <c r="N22" s="36">
        <f t="shared" si="14"/>
        <v>86437.2332</v>
      </c>
      <c r="O22" s="36">
        <f t="shared" si="15"/>
        <v>72751.33794</v>
      </c>
      <c r="P22" s="36">
        <f t="shared" si="16"/>
        <v>61232.3761</v>
      </c>
      <c r="Q22" s="36">
        <f t="shared" si="17"/>
        <v>51537.24988</v>
      </c>
      <c r="R22" s="36">
        <f t="shared" si="18"/>
        <v>43377.18532</v>
      </c>
      <c r="S22" s="36">
        <f t="shared" si="19"/>
        <v>36509.13098</v>
      </c>
      <c r="T22" s="36">
        <f t="shared" ref="T22:T27" si="20">+T21*(1+$E$2)</f>
        <v>30728.51857</v>
      </c>
      <c r="U22" s="36">
        <f>+C22</f>
        <v>25863.1698</v>
      </c>
      <c r="V22" s="34"/>
      <c r="W22" s="34"/>
      <c r="X22" s="34"/>
      <c r="Y22" s="34"/>
      <c r="Z22" s="34"/>
      <c r="AA22" s="34"/>
      <c r="AB22" s="34">
        <f t="shared" si="7"/>
        <v>15335.23967</v>
      </c>
    </row>
    <row r="23" ht="14.25" customHeight="1">
      <c r="A23" s="34" t="s">
        <v>71</v>
      </c>
      <c r="B23" s="36">
        <f t="shared" si="3"/>
        <v>19350</v>
      </c>
      <c r="C23" s="36">
        <f t="shared" si="4"/>
        <v>26121.8015</v>
      </c>
      <c r="D23" s="36">
        <f t="shared" si="5"/>
        <v>388301.9511</v>
      </c>
      <c r="E23" s="36">
        <f t="shared" si="1"/>
        <v>-2050560.858</v>
      </c>
      <c r="F23" s="40">
        <f t="shared" si="2"/>
        <v>2050560.858</v>
      </c>
      <c r="G23" s="36">
        <f t="shared" si="6"/>
        <v>346657.9854</v>
      </c>
      <c r="H23" s="36">
        <f t="shared" si="8"/>
        <v>291770.4711</v>
      </c>
      <c r="I23" s="36">
        <f t="shared" si="9"/>
        <v>245573.4798</v>
      </c>
      <c r="J23" s="36">
        <f t="shared" si="10"/>
        <v>206691.0122</v>
      </c>
      <c r="K23" s="36">
        <f t="shared" si="11"/>
        <v>173964.9353</v>
      </c>
      <c r="L23" s="36">
        <f t="shared" si="12"/>
        <v>146420.4872</v>
      </c>
      <c r="M23" s="36">
        <f t="shared" si="13"/>
        <v>123237.2434</v>
      </c>
      <c r="N23" s="36">
        <f t="shared" si="14"/>
        <v>103724.6798</v>
      </c>
      <c r="O23" s="36">
        <f t="shared" si="15"/>
        <v>87301.60553</v>
      </c>
      <c r="P23" s="36">
        <f t="shared" si="16"/>
        <v>73478.85132</v>
      </c>
      <c r="Q23" s="36">
        <f t="shared" si="17"/>
        <v>61844.69986</v>
      </c>
      <c r="R23" s="36">
        <f t="shared" si="18"/>
        <v>52052.62238</v>
      </c>
      <c r="S23" s="36">
        <f t="shared" si="19"/>
        <v>43810.95717</v>
      </c>
      <c r="T23" s="36">
        <f t="shared" si="20"/>
        <v>36874.22229</v>
      </c>
      <c r="U23" s="36">
        <f t="shared" ref="U23:U27" si="21">+U22*(1+$E$2)</f>
        <v>31035.80376</v>
      </c>
      <c r="V23" s="36">
        <f>+C23</f>
        <v>26121.8015</v>
      </c>
      <c r="W23" s="34"/>
      <c r="X23" s="34"/>
      <c r="Y23" s="34"/>
      <c r="Z23" s="34"/>
      <c r="AA23" s="34"/>
      <c r="AB23" s="34">
        <f t="shared" si="7"/>
        <v>15795.29686</v>
      </c>
    </row>
    <row r="24" ht="14.25" customHeight="1">
      <c r="A24" s="34" t="s">
        <v>72</v>
      </c>
      <c r="B24" s="36">
        <f t="shared" si="3"/>
        <v>19350</v>
      </c>
      <c r="C24" s="36">
        <f t="shared" si="4"/>
        <v>26383.01951</v>
      </c>
      <c r="D24" s="36">
        <f t="shared" si="5"/>
        <v>414684.9706</v>
      </c>
      <c r="E24" s="36">
        <f t="shared" si="1"/>
        <v>-2487056.049</v>
      </c>
      <c r="F24" s="40">
        <f t="shared" si="2"/>
        <v>2487056.049</v>
      </c>
      <c r="G24" s="36">
        <f t="shared" si="6"/>
        <v>415989.5825</v>
      </c>
      <c r="H24" s="36">
        <f t="shared" si="8"/>
        <v>350124.5653</v>
      </c>
      <c r="I24" s="36">
        <f t="shared" si="9"/>
        <v>294688.1758</v>
      </c>
      <c r="J24" s="36">
        <f t="shared" si="10"/>
        <v>248029.2146</v>
      </c>
      <c r="K24" s="36">
        <f t="shared" si="11"/>
        <v>208757.9223</v>
      </c>
      <c r="L24" s="36">
        <f t="shared" si="12"/>
        <v>175704.5846</v>
      </c>
      <c r="M24" s="36">
        <f t="shared" si="13"/>
        <v>147884.692</v>
      </c>
      <c r="N24" s="36">
        <f t="shared" si="14"/>
        <v>124469.6158</v>
      </c>
      <c r="O24" s="36">
        <f t="shared" si="15"/>
        <v>104761.9266</v>
      </c>
      <c r="P24" s="36">
        <f t="shared" si="16"/>
        <v>88174.62158</v>
      </c>
      <c r="Q24" s="36">
        <f t="shared" si="17"/>
        <v>74213.63983</v>
      </c>
      <c r="R24" s="36">
        <f t="shared" si="18"/>
        <v>62463.14686</v>
      </c>
      <c r="S24" s="36">
        <f t="shared" si="19"/>
        <v>52573.14861</v>
      </c>
      <c r="T24" s="36">
        <f t="shared" si="20"/>
        <v>44249.06674</v>
      </c>
      <c r="U24" s="36">
        <f t="shared" si="21"/>
        <v>37242.96451</v>
      </c>
      <c r="V24" s="36">
        <f t="shared" ref="V24:V27" si="22">+V23*(1+$E$2)</f>
        <v>31346.16179</v>
      </c>
      <c r="W24" s="36">
        <f>+C24</f>
        <v>26383.01951</v>
      </c>
      <c r="X24" s="34"/>
      <c r="Y24" s="34"/>
      <c r="Z24" s="34"/>
      <c r="AA24" s="34"/>
      <c r="AB24" s="34">
        <f t="shared" si="7"/>
        <v>16269.15576</v>
      </c>
    </row>
    <row r="25" ht="14.25" customHeight="1">
      <c r="A25" s="34" t="s">
        <v>73</v>
      </c>
      <c r="B25" s="36">
        <f t="shared" si="3"/>
        <v>19350</v>
      </c>
      <c r="C25" s="36">
        <f t="shared" si="4"/>
        <v>26646.84971</v>
      </c>
      <c r="D25" s="36">
        <f t="shared" si="5"/>
        <v>441331.8203</v>
      </c>
      <c r="E25" s="36">
        <f t="shared" si="1"/>
        <v>-3011114.109</v>
      </c>
      <c r="F25" s="40">
        <f t="shared" si="2"/>
        <v>3011114.109</v>
      </c>
      <c r="G25" s="36">
        <f t="shared" si="6"/>
        <v>499187.499</v>
      </c>
      <c r="H25" s="36">
        <f t="shared" si="8"/>
        <v>420149.4783</v>
      </c>
      <c r="I25" s="36">
        <f t="shared" si="9"/>
        <v>353625.8109</v>
      </c>
      <c r="J25" s="36">
        <f t="shared" si="10"/>
        <v>297635.0575</v>
      </c>
      <c r="K25" s="36">
        <f t="shared" si="11"/>
        <v>250509.5068</v>
      </c>
      <c r="L25" s="36">
        <f t="shared" si="12"/>
        <v>210845.5015</v>
      </c>
      <c r="M25" s="36">
        <f t="shared" si="13"/>
        <v>177461.6304</v>
      </c>
      <c r="N25" s="36">
        <f t="shared" si="14"/>
        <v>149363.539</v>
      </c>
      <c r="O25" s="36">
        <f t="shared" si="15"/>
        <v>125714.312</v>
      </c>
      <c r="P25" s="36">
        <f t="shared" si="16"/>
        <v>105809.5459</v>
      </c>
      <c r="Q25" s="36">
        <f t="shared" si="17"/>
        <v>89056.3678</v>
      </c>
      <c r="R25" s="36">
        <f t="shared" si="18"/>
        <v>74955.77623</v>
      </c>
      <c r="S25" s="36">
        <f t="shared" si="19"/>
        <v>63087.77833</v>
      </c>
      <c r="T25" s="36">
        <f t="shared" si="20"/>
        <v>53098.88009</v>
      </c>
      <c r="U25" s="36">
        <f t="shared" si="21"/>
        <v>44691.55741</v>
      </c>
      <c r="V25" s="36">
        <f t="shared" si="22"/>
        <v>37615.39415</v>
      </c>
      <c r="W25" s="36">
        <f t="shared" ref="W25:W27" si="23">+W24*(1+$E$2)</f>
        <v>31659.62341</v>
      </c>
      <c r="X25" s="36">
        <f>+C25</f>
        <v>26646.84971</v>
      </c>
      <c r="Y25" s="34"/>
      <c r="Z25" s="34"/>
      <c r="AA25" s="34"/>
      <c r="AB25" s="34">
        <f t="shared" si="7"/>
        <v>16757.23044</v>
      </c>
    </row>
    <row r="26" ht="14.25" customHeight="1">
      <c r="A26" s="34" t="s">
        <v>74</v>
      </c>
      <c r="B26" s="36">
        <f t="shared" si="3"/>
        <v>19350</v>
      </c>
      <c r="C26" s="36">
        <f t="shared" si="4"/>
        <v>26913.3182</v>
      </c>
      <c r="D26" s="36">
        <f t="shared" si="5"/>
        <v>468245.1385</v>
      </c>
      <c r="E26" s="36">
        <f t="shared" si="1"/>
        <v>-3640250.248</v>
      </c>
      <c r="F26" s="40">
        <f t="shared" si="2"/>
        <v>3640250.248</v>
      </c>
      <c r="G26" s="36">
        <f t="shared" si="6"/>
        <v>599024.9988</v>
      </c>
      <c r="H26" s="36">
        <f t="shared" si="8"/>
        <v>504179.374</v>
      </c>
      <c r="I26" s="36">
        <f t="shared" si="9"/>
        <v>424350.9731</v>
      </c>
      <c r="J26" s="36">
        <f t="shared" si="10"/>
        <v>357162.069</v>
      </c>
      <c r="K26" s="36">
        <f t="shared" si="11"/>
        <v>300611.4081</v>
      </c>
      <c r="L26" s="36">
        <f t="shared" si="12"/>
        <v>253014.6018</v>
      </c>
      <c r="M26" s="36">
        <f t="shared" si="13"/>
        <v>212953.9565</v>
      </c>
      <c r="N26" s="36">
        <f t="shared" si="14"/>
        <v>179236.2468</v>
      </c>
      <c r="O26" s="36">
        <f t="shared" si="15"/>
        <v>150857.1744</v>
      </c>
      <c r="P26" s="36">
        <f t="shared" si="16"/>
        <v>126971.4551</v>
      </c>
      <c r="Q26" s="36">
        <f t="shared" si="17"/>
        <v>106867.6414</v>
      </c>
      <c r="R26" s="36">
        <f t="shared" si="18"/>
        <v>89946.93148</v>
      </c>
      <c r="S26" s="36">
        <f t="shared" si="19"/>
        <v>75705.33399</v>
      </c>
      <c r="T26" s="36">
        <f t="shared" si="20"/>
        <v>63718.65611</v>
      </c>
      <c r="U26" s="36">
        <f t="shared" si="21"/>
        <v>53629.86889</v>
      </c>
      <c r="V26" s="36">
        <f t="shared" si="22"/>
        <v>45138.47298</v>
      </c>
      <c r="W26" s="36">
        <f t="shared" si="23"/>
        <v>37991.5481</v>
      </c>
      <c r="X26" s="36">
        <f t="shared" ref="X26:X27" si="24">+X25*(1+$E$2)</f>
        <v>31976.21965</v>
      </c>
      <c r="Y26" s="36">
        <f>+C26</f>
        <v>26913.3182</v>
      </c>
      <c r="Z26" s="34"/>
      <c r="AA26" s="34"/>
      <c r="AB26" s="34">
        <f t="shared" si="7"/>
        <v>17259.94735</v>
      </c>
    </row>
    <row r="27" ht="14.25" customHeight="1">
      <c r="A27" s="34" t="s">
        <v>75</v>
      </c>
      <c r="B27" s="34"/>
      <c r="C27" s="36">
        <f t="shared" si="4"/>
        <v>27182.45138</v>
      </c>
      <c r="D27" s="36">
        <f t="shared" si="5"/>
        <v>495427.5899</v>
      </c>
      <c r="E27" s="36">
        <f t="shared" si="1"/>
        <v>-4395482.749</v>
      </c>
      <c r="F27" s="40">
        <f t="shared" si="2"/>
        <v>4395482.749</v>
      </c>
      <c r="G27" s="36">
        <f t="shared" si="6"/>
        <v>718829.9986</v>
      </c>
      <c r="H27" s="36">
        <f t="shared" si="8"/>
        <v>605015.2488</v>
      </c>
      <c r="I27" s="36">
        <f t="shared" si="9"/>
        <v>509221.1677</v>
      </c>
      <c r="J27" s="36">
        <f t="shared" si="10"/>
        <v>428594.4829</v>
      </c>
      <c r="K27" s="36">
        <f t="shared" si="11"/>
        <v>360733.6897</v>
      </c>
      <c r="L27" s="36">
        <f t="shared" si="12"/>
        <v>303617.5222</v>
      </c>
      <c r="M27" s="36">
        <f t="shared" si="13"/>
        <v>255544.7478</v>
      </c>
      <c r="N27" s="36">
        <f t="shared" si="14"/>
        <v>215083.4961</v>
      </c>
      <c r="O27" s="36">
        <f t="shared" si="15"/>
        <v>181028.6092</v>
      </c>
      <c r="P27" s="36">
        <f t="shared" si="16"/>
        <v>152365.7461</v>
      </c>
      <c r="Q27" s="36">
        <f t="shared" si="17"/>
        <v>128241.1696</v>
      </c>
      <c r="R27" s="36">
        <f t="shared" si="18"/>
        <v>107936.3178</v>
      </c>
      <c r="S27" s="36">
        <f t="shared" si="19"/>
        <v>90846.40079</v>
      </c>
      <c r="T27" s="36">
        <f t="shared" si="20"/>
        <v>76462.38733</v>
      </c>
      <c r="U27" s="36">
        <f t="shared" si="21"/>
        <v>64355.84267</v>
      </c>
      <c r="V27" s="36">
        <f t="shared" si="22"/>
        <v>54166.16758</v>
      </c>
      <c r="W27" s="36">
        <f t="shared" si="23"/>
        <v>45589.85771</v>
      </c>
      <c r="X27" s="36">
        <f t="shared" si="24"/>
        <v>38371.46358</v>
      </c>
      <c r="Y27" s="36">
        <f>+Y26*(1+$E$2)</f>
        <v>32295.98184</v>
      </c>
      <c r="Z27" s="36">
        <f>+C27</f>
        <v>27182.45138</v>
      </c>
      <c r="AA27" s="34"/>
      <c r="AB27" s="34">
        <f t="shared" si="7"/>
        <v>17777.74577</v>
      </c>
    </row>
    <row r="28" ht="14.2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ht="14.2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ht="14.2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ht="14.2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ht="14.2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ht="14.2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41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ht="14.2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ht="14.2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ht="14.2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4.2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ht="14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ht="14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  <row r="40" ht="14.2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</row>
    <row r="41" ht="14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</row>
    <row r="42" ht="14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ht="14.2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ht="14.2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ht="14.2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ht="14.2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ht="14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ht="14.2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ht="14.2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</row>
    <row r="57" ht="14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</row>
    <row r="58" ht="14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</row>
    <row r="59" ht="14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</row>
    <row r="60" ht="14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</row>
    <row r="61" ht="14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</row>
    <row r="62" ht="14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</row>
    <row r="63" ht="14.2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</row>
    <row r="64" ht="14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</row>
    <row r="65" ht="14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</row>
    <row r="66" ht="14.2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</row>
    <row r="67" ht="14.2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ht="14.2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</row>
    <row r="69" ht="14.2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</row>
    <row r="70" ht="14.2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 ht="14.2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4.2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</row>
    <row r="73" ht="14.2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</row>
    <row r="74" ht="14.2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</row>
    <row r="75" ht="14.2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</row>
    <row r="76" ht="14.2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</row>
    <row r="77" ht="14.2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</row>
    <row r="78" ht="14.2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</row>
    <row r="79" ht="14.2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</row>
    <row r="80" ht="14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</row>
    <row r="81" ht="14.2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</row>
    <row r="82" ht="14.2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</row>
    <row r="83" ht="14.2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</row>
    <row r="84" ht="14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</row>
    <row r="85" ht="14.2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</row>
    <row r="86" ht="14.2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</row>
    <row r="87" ht="14.2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</row>
    <row r="88" ht="14.2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</row>
    <row r="89" ht="14.2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</row>
    <row r="90" ht="14.2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</row>
    <row r="91" ht="14.2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</row>
    <row r="92" ht="14.2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</row>
    <row r="93" ht="14.2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</row>
    <row r="94" ht="14.2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</row>
    <row r="95" ht="14.2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</row>
    <row r="96" ht="14.2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</row>
    <row r="97" ht="14.2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</row>
    <row r="98" ht="14.2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</row>
    <row r="99" ht="14.2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</row>
    <row r="100" ht="14.2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</row>
    <row r="101" ht="14.2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</row>
    <row r="102" ht="14.2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</row>
    <row r="103" ht="14.2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</row>
    <row r="104" ht="14.2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</row>
    <row r="105" ht="14.2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</row>
    <row r="106" ht="14.2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</row>
    <row r="107" ht="14.2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</row>
    <row r="108" ht="14.2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</row>
    <row r="109" ht="14.2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</row>
    <row r="110" ht="14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</row>
    <row r="111" ht="14.2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</row>
    <row r="112" ht="14.2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</row>
    <row r="113" ht="14.2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</row>
    <row r="114" ht="14.2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</row>
    <row r="115" ht="14.2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</row>
    <row r="116" ht="14.2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</row>
    <row r="117" ht="14.2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</row>
    <row r="118" ht="14.2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</row>
    <row r="119" ht="14.2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</row>
    <row r="120" ht="14.2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</row>
    <row r="121" ht="14.2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</row>
    <row r="122" ht="14.2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</row>
    <row r="123" ht="14.2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</row>
    <row r="124" ht="14.2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</row>
    <row r="125" ht="14.2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</row>
    <row r="126" ht="14.2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</row>
    <row r="127" ht="14.2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</row>
    <row r="128" ht="14.2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</row>
    <row r="129" ht="14.2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</row>
    <row r="130" ht="14.2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</row>
    <row r="131" ht="14.2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</row>
    <row r="132" ht="14.2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</row>
    <row r="133" ht="14.2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</row>
    <row r="134" ht="14.2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</row>
    <row r="135" ht="14.2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</row>
    <row r="136" ht="14.2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</row>
    <row r="137" ht="14.2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</row>
    <row r="138" ht="14.2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</row>
    <row r="139" ht="14.2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</row>
    <row r="140" ht="14.2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</row>
    <row r="141" ht="14.2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</row>
    <row r="142" ht="14.2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</row>
    <row r="143" ht="14.2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</row>
    <row r="144" ht="14.2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</row>
    <row r="145" ht="14.2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</row>
    <row r="146" ht="14.2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</row>
    <row r="147" ht="14.2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</row>
    <row r="148" ht="14.2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</row>
    <row r="149" ht="14.2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</row>
    <row r="150" ht="14.2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</row>
    <row r="151" ht="14.2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</row>
    <row r="152" ht="14.2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</row>
    <row r="153" ht="14.2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</row>
    <row r="154" ht="14.2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</row>
    <row r="155" ht="14.2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</row>
    <row r="156" ht="14.2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</row>
    <row r="157" ht="14.2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</row>
    <row r="158" ht="14.2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</row>
    <row r="159" ht="14.2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</row>
    <row r="160" ht="14.2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</row>
    <row r="161" ht="14.2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</row>
    <row r="162" ht="14.2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</row>
    <row r="163" ht="14.2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</row>
    <row r="164" ht="14.2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</row>
    <row r="165" ht="14.2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</row>
    <row r="166" ht="14.2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</row>
    <row r="167" ht="14.2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</row>
    <row r="168" ht="14.2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</row>
    <row r="169" ht="14.2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</row>
    <row r="170" ht="14.2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</row>
    <row r="171" ht="14.2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</row>
    <row r="172" ht="14.2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</row>
    <row r="173" ht="14.2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</row>
    <row r="174" ht="14.2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</row>
    <row r="175" ht="14.2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</row>
    <row r="176" ht="14.2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</row>
    <row r="177" ht="14.2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</row>
    <row r="178" ht="14.2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</row>
    <row r="179" ht="14.2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</row>
    <row r="180" ht="14.2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</row>
    <row r="181" ht="14.2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</row>
    <row r="182" ht="14.2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</row>
    <row r="183" ht="14.2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</row>
    <row r="184" ht="14.2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</row>
    <row r="185" ht="14.2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</row>
    <row r="186" ht="14.2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</row>
    <row r="187" ht="14.2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</row>
    <row r="188" ht="14.2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</row>
    <row r="189" ht="14.2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</row>
    <row r="190" ht="14.2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</row>
    <row r="191" ht="14.2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</row>
    <row r="192" ht="14.2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</row>
    <row r="193" ht="14.2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</row>
    <row r="194" ht="14.2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</row>
    <row r="195" ht="14.2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</row>
    <row r="196" ht="14.2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</row>
    <row r="197" ht="14.2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</row>
    <row r="198" ht="14.2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</row>
    <row r="199" ht="14.2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</row>
    <row r="200" ht="14.2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</row>
    <row r="201" ht="14.2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</row>
    <row r="202" ht="14.2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</row>
    <row r="203" ht="14.2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</row>
    <row r="204" ht="14.2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</row>
    <row r="205" ht="14.2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</row>
    <row r="206" ht="14.2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</row>
    <row r="207" ht="14.2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</row>
    <row r="208" ht="14.2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</row>
    <row r="209" ht="14.2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</row>
    <row r="210" ht="14.2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</row>
    <row r="211" ht="14.2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</row>
    <row r="212" ht="14.2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</row>
    <row r="213" ht="14.2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</row>
    <row r="214" ht="14.2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</row>
    <row r="215" ht="14.2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</row>
    <row r="216" ht="14.2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</row>
    <row r="217" ht="14.2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</row>
    <row r="218" ht="14.2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</row>
    <row r="219" ht="14.2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</row>
    <row r="220" ht="14.2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</row>
    <row r="221" ht="14.2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</row>
    <row r="222" ht="14.2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</row>
    <row r="223" ht="14.2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</row>
    <row r="224" ht="14.2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</row>
    <row r="225" ht="14.2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</row>
    <row r="226" ht="14.2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</row>
    <row r="227" ht="14.2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/>
  </sheetPr>
  <sheetViews>
    <sheetView workbookViewId="0"/>
  </sheetViews>
  <sheetFormatPr customHeight="1" defaultColWidth="14.43" defaultRowHeight="15.0"/>
  <cols>
    <col customWidth="1" hidden="1" min="1" max="1" width="18.0"/>
    <col customWidth="1" hidden="1" min="2" max="2" width="5.57"/>
    <col customWidth="1" min="3" max="3" width="27.71"/>
    <col customWidth="1" hidden="1" min="4" max="4" width="3.0"/>
    <col customWidth="1" hidden="1" min="5" max="5" width="12.29"/>
    <col customWidth="1" hidden="1" min="6" max="6" width="3.57"/>
    <col customWidth="1" min="7" max="10" width="16.0"/>
  </cols>
  <sheetData>
    <row r="1" ht="15.0" hidden="1" customHeight="1">
      <c r="A1" s="42" t="s">
        <v>76</v>
      </c>
      <c r="B1" s="42"/>
      <c r="C1" s="42" t="s">
        <v>77</v>
      </c>
      <c r="D1" s="43"/>
      <c r="E1" s="43"/>
      <c r="F1" s="43"/>
      <c r="G1" s="44"/>
      <c r="H1" s="45"/>
      <c r="I1" s="44"/>
      <c r="J1" s="44"/>
      <c r="K1" s="46"/>
      <c r="L1" s="43"/>
      <c r="M1" s="46"/>
      <c r="N1" s="46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5.0" hidden="1" customHeight="1">
      <c r="A2" s="47" t="s">
        <v>78</v>
      </c>
      <c r="B2" s="47"/>
      <c r="C2" s="47" t="s">
        <v>79</v>
      </c>
      <c r="D2" s="43"/>
      <c r="E2" s="43"/>
      <c r="F2" s="43"/>
      <c r="G2" s="44"/>
      <c r="H2" s="45"/>
      <c r="I2" s="44"/>
      <c r="J2" s="44"/>
      <c r="K2" s="46"/>
      <c r="L2" s="43" t="s">
        <v>80</v>
      </c>
      <c r="M2" s="46"/>
      <c r="N2" s="46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idden="1">
      <c r="A3" s="43"/>
      <c r="B3" s="43"/>
      <c r="C3" s="43"/>
      <c r="D3" s="43"/>
      <c r="E3" s="43"/>
      <c r="F3" s="43"/>
      <c r="G3" s="44"/>
      <c r="H3" s="45"/>
      <c r="I3" s="44"/>
      <c r="J3" s="44"/>
      <c r="K3" s="46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idden="1">
      <c r="A4" s="43"/>
      <c r="B4" s="47" t="s">
        <v>22</v>
      </c>
      <c r="C4" s="42"/>
      <c r="D4" s="42"/>
      <c r="E4" s="48" t="s">
        <v>81</v>
      </c>
      <c r="F4" s="48"/>
      <c r="G4" s="49" t="s">
        <v>82</v>
      </c>
      <c r="H4" s="49"/>
      <c r="I4" s="44"/>
      <c r="J4" s="44"/>
      <c r="K4" s="46"/>
      <c r="L4" s="46" t="s">
        <v>83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idden="1">
      <c r="A5" s="43"/>
      <c r="B5" s="43"/>
      <c r="C5" s="46" t="s">
        <v>84</v>
      </c>
      <c r="D5" s="43"/>
      <c r="E5" s="50">
        <v>100000.0</v>
      </c>
      <c r="F5" s="51"/>
      <c r="G5" s="52">
        <f>+E5</f>
        <v>100000</v>
      </c>
      <c r="H5" s="45"/>
      <c r="I5" s="44"/>
      <c r="J5" s="44"/>
      <c r="K5" s="46"/>
      <c r="L5" s="46" t="s">
        <v>85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idden="1">
      <c r="A6" s="43"/>
      <c r="B6" s="43"/>
      <c r="C6" s="46" t="s">
        <v>86</v>
      </c>
      <c r="D6" s="43"/>
      <c r="E6" s="50">
        <v>0.0</v>
      </c>
      <c r="F6" s="51"/>
      <c r="G6" s="52">
        <v>40000.0</v>
      </c>
      <c r="H6" s="45"/>
      <c r="I6" s="44"/>
      <c r="J6" s="44"/>
      <c r="K6" s="46"/>
      <c r="L6" s="46" t="s">
        <v>85</v>
      </c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idden="1">
      <c r="A7" s="43"/>
      <c r="B7" s="43"/>
      <c r="C7" s="46" t="s">
        <v>87</v>
      </c>
      <c r="D7" s="43"/>
      <c r="E7" s="50"/>
      <c r="F7" s="51"/>
      <c r="G7" s="52"/>
      <c r="H7" s="45"/>
      <c r="I7" s="44"/>
      <c r="J7" s="44"/>
      <c r="K7" s="46"/>
      <c r="L7" s="46" t="s">
        <v>85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idden="1">
      <c r="A8" s="43"/>
      <c r="B8" s="43"/>
      <c r="C8" s="46" t="s">
        <v>87</v>
      </c>
      <c r="D8" s="43"/>
      <c r="E8" s="50"/>
      <c r="F8" s="51"/>
      <c r="G8" s="52"/>
      <c r="H8" s="45"/>
      <c r="I8" s="44"/>
      <c r="J8" s="44"/>
      <c r="K8" s="46"/>
      <c r="L8" s="46" t="s">
        <v>85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idden="1">
      <c r="A9" s="43"/>
      <c r="B9" s="43"/>
      <c r="C9" s="53" t="s">
        <v>88</v>
      </c>
      <c r="D9" s="54"/>
      <c r="E9" s="55">
        <f>SUM(E5:E8)</f>
        <v>100000</v>
      </c>
      <c r="F9" s="54"/>
      <c r="G9" s="56">
        <f>SUM(G5:G8)</f>
        <v>140000</v>
      </c>
      <c r="H9" s="57"/>
      <c r="I9" s="44"/>
      <c r="J9" s="44"/>
      <c r="K9" s="46"/>
      <c r="L9" s="58" t="s">
        <v>89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idden="1">
      <c r="A10" s="43"/>
      <c r="B10" s="43"/>
      <c r="C10" s="46"/>
      <c r="D10" s="43"/>
      <c r="E10" s="59"/>
      <c r="F10" s="43"/>
      <c r="G10" s="60"/>
      <c r="H10" s="45"/>
      <c r="I10" s="44"/>
      <c r="J10" s="44"/>
      <c r="K10" s="46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idden="1">
      <c r="A11" s="43"/>
      <c r="B11" s="43"/>
      <c r="C11" s="46"/>
      <c r="D11" s="43"/>
      <c r="E11" s="59"/>
      <c r="F11" s="43"/>
      <c r="G11" s="60"/>
      <c r="H11" s="45"/>
      <c r="I11" s="44"/>
      <c r="J11" s="44"/>
      <c r="K11" s="46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idden="1">
      <c r="A12" s="43"/>
      <c r="B12" s="43"/>
      <c r="C12" s="61" t="s">
        <v>90</v>
      </c>
      <c r="D12" s="43"/>
      <c r="E12" s="50">
        <v>75000.0</v>
      </c>
      <c r="F12" s="51"/>
      <c r="G12" s="52"/>
      <c r="H12" s="45"/>
      <c r="I12" s="44"/>
      <c r="J12" s="60"/>
      <c r="K12" s="46"/>
      <c r="L12" s="46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idden="1">
      <c r="A13" s="43"/>
      <c r="B13" s="43"/>
      <c r="C13" s="61" t="s">
        <v>90</v>
      </c>
      <c r="D13" s="43"/>
      <c r="E13" s="50"/>
      <c r="F13" s="51"/>
      <c r="G13" s="52"/>
      <c r="H13" s="45"/>
      <c r="I13" s="44"/>
      <c r="J13" s="44"/>
      <c r="K13" s="46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idden="1">
      <c r="A14" s="43"/>
      <c r="B14" s="43"/>
      <c r="C14" s="61" t="s">
        <v>90</v>
      </c>
      <c r="D14" s="43"/>
      <c r="E14" s="50"/>
      <c r="F14" s="51"/>
      <c r="G14" s="52"/>
      <c r="H14" s="45"/>
      <c r="I14" s="44"/>
      <c r="J14" s="44"/>
      <c r="K14" s="46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idden="1">
      <c r="A15" s="43"/>
      <c r="B15" s="43"/>
      <c r="C15" s="53" t="s">
        <v>91</v>
      </c>
      <c r="D15" s="54"/>
      <c r="E15" s="55">
        <f>SUM(E12:E14)</f>
        <v>75000</v>
      </c>
      <c r="F15" s="54"/>
      <c r="G15" s="56">
        <f>SUM(G12:G14)</f>
        <v>0</v>
      </c>
      <c r="H15" s="57"/>
      <c r="I15" s="44"/>
      <c r="J15" s="44"/>
      <c r="K15" s="46"/>
      <c r="L15" s="58" t="s">
        <v>92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idden="1">
      <c r="A16" s="43"/>
      <c r="B16" s="43"/>
      <c r="C16" s="46"/>
      <c r="D16" s="43"/>
      <c r="E16" s="59"/>
      <c r="F16" s="43"/>
      <c r="G16" s="60"/>
      <c r="H16" s="45"/>
      <c r="I16" s="44"/>
      <c r="J16" s="44"/>
      <c r="K16" s="46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idden="1">
      <c r="A17" s="43"/>
      <c r="B17" s="43"/>
      <c r="C17" s="46"/>
      <c r="D17" s="43"/>
      <c r="E17" s="59"/>
      <c r="F17" s="43"/>
      <c r="G17" s="60"/>
      <c r="H17" s="45"/>
      <c r="I17" s="44"/>
      <c r="J17" s="44"/>
      <c r="K17" s="46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idden="1">
      <c r="A18" s="43"/>
      <c r="B18" s="43"/>
      <c r="C18" s="61" t="s">
        <v>93</v>
      </c>
      <c r="D18" s="43"/>
      <c r="E18" s="50"/>
      <c r="F18" s="51"/>
      <c r="G18" s="52">
        <f>+E12-G6</f>
        <v>35000</v>
      </c>
      <c r="H18" s="45"/>
      <c r="I18" s="44"/>
      <c r="J18" s="60"/>
      <c r="K18" s="46"/>
      <c r="L18" s="46" t="s">
        <v>94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idden="1">
      <c r="A19" s="43"/>
      <c r="B19" s="43"/>
      <c r="C19" s="61" t="s">
        <v>93</v>
      </c>
      <c r="D19" s="43"/>
      <c r="E19" s="50"/>
      <c r="F19" s="51"/>
      <c r="G19" s="52">
        <v>0.0</v>
      </c>
      <c r="H19" s="45"/>
      <c r="I19" s="44"/>
      <c r="J19" s="44"/>
      <c r="K19" s="46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idden="1">
      <c r="A20" s="43"/>
      <c r="B20" s="43"/>
      <c r="C20" s="53" t="s">
        <v>95</v>
      </c>
      <c r="D20" s="54"/>
      <c r="E20" s="55">
        <f>SUM(E18:E19)</f>
        <v>0</v>
      </c>
      <c r="F20" s="54"/>
      <c r="G20" s="56">
        <f>SUM(G18:G19)</f>
        <v>35000</v>
      </c>
      <c r="H20" s="57"/>
      <c r="I20" s="44"/>
      <c r="J20" s="44"/>
      <c r="K20" s="46"/>
      <c r="L20" s="58" t="s">
        <v>96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5.75" hidden="1" customHeight="1">
      <c r="A21" s="43"/>
      <c r="B21" s="43"/>
      <c r="C21" s="46"/>
      <c r="D21" s="43"/>
      <c r="E21" s="59"/>
      <c r="F21" s="46"/>
      <c r="G21" s="60"/>
      <c r="H21" s="45"/>
      <c r="I21" s="44"/>
      <c r="J21" s="44"/>
      <c r="K21" s="46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5.75" hidden="1" customHeight="1">
      <c r="A22" s="43"/>
      <c r="B22" s="43"/>
      <c r="C22" s="46"/>
      <c r="D22" s="43"/>
      <c r="E22" s="59"/>
      <c r="F22" s="46"/>
      <c r="G22" s="60"/>
      <c r="H22" s="45"/>
      <c r="I22" s="44"/>
      <c r="J22" s="44"/>
      <c r="K22" s="46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5.75" hidden="1" customHeight="1">
      <c r="A23" s="43"/>
      <c r="B23" s="43"/>
      <c r="C23" s="46" t="s">
        <v>97</v>
      </c>
      <c r="D23" s="43"/>
      <c r="E23" s="59"/>
      <c r="F23" s="46"/>
      <c r="G23" s="60"/>
      <c r="H23" s="45"/>
      <c r="I23" s="44"/>
      <c r="J23" s="44"/>
      <c r="K23" s="46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5.75" hidden="1" customHeight="1">
      <c r="A24" s="43"/>
      <c r="B24" s="43"/>
      <c r="C24" s="46" t="s">
        <v>97</v>
      </c>
      <c r="D24" s="43"/>
      <c r="E24" s="59"/>
      <c r="F24" s="46"/>
      <c r="G24" s="60"/>
      <c r="H24" s="45"/>
      <c r="I24" s="44"/>
      <c r="J24" s="44"/>
      <c r="K24" s="46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5.75" hidden="1" customHeight="1">
      <c r="A25" s="43"/>
      <c r="B25" s="43"/>
      <c r="C25" s="46" t="s">
        <v>97</v>
      </c>
      <c r="D25" s="43"/>
      <c r="E25" s="59"/>
      <c r="F25" s="46"/>
      <c r="G25" s="60"/>
      <c r="H25" s="45"/>
      <c r="I25" s="44"/>
      <c r="J25" s="44"/>
      <c r="K25" s="46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5.75" hidden="1" customHeight="1">
      <c r="A26" s="43"/>
      <c r="B26" s="43"/>
      <c r="C26" s="53" t="s">
        <v>98</v>
      </c>
      <c r="D26" s="54"/>
      <c r="E26" s="55">
        <f>SUM(E23:E25)</f>
        <v>0</v>
      </c>
      <c r="F26" s="54"/>
      <c r="G26" s="56">
        <f>SUM(G23:G25)</f>
        <v>0</v>
      </c>
      <c r="H26" s="57"/>
      <c r="I26" s="44"/>
      <c r="J26" s="44"/>
      <c r="K26" s="46"/>
      <c r="L26" s="58" t="s">
        <v>99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5.75" hidden="1" customHeight="1">
      <c r="A27" s="43"/>
      <c r="B27" s="43"/>
      <c r="C27" s="46"/>
      <c r="D27" s="43"/>
      <c r="E27" s="59"/>
      <c r="F27" s="46"/>
      <c r="G27" s="60"/>
      <c r="H27" s="45"/>
      <c r="I27" s="44"/>
      <c r="J27" s="44"/>
      <c r="K27" s="46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5.75" hidden="1" customHeight="1">
      <c r="A28" s="43"/>
      <c r="B28" s="43"/>
      <c r="C28" s="46"/>
      <c r="D28" s="43"/>
      <c r="E28" s="59"/>
      <c r="F28" s="46"/>
      <c r="G28" s="60"/>
      <c r="H28" s="45"/>
      <c r="I28" s="44"/>
      <c r="J28" s="44"/>
      <c r="K28" s="46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5.75" hidden="1" customHeight="1">
      <c r="A29" s="43"/>
      <c r="B29" s="43"/>
      <c r="C29" s="46" t="s">
        <v>100</v>
      </c>
      <c r="D29" s="43"/>
      <c r="E29" s="50">
        <v>1030.0</v>
      </c>
      <c r="F29" s="51"/>
      <c r="G29" s="52">
        <f t="shared" ref="G29:G33" si="1">+E29</f>
        <v>1030</v>
      </c>
      <c r="H29" s="45"/>
      <c r="I29" s="44"/>
      <c r="J29" s="44"/>
      <c r="K29" s="46"/>
      <c r="L29" s="46" t="s">
        <v>101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5.75" hidden="1" customHeight="1">
      <c r="A30" s="43"/>
      <c r="B30" s="43"/>
      <c r="C30" s="46" t="s">
        <v>102</v>
      </c>
      <c r="D30" s="43"/>
      <c r="E30" s="50">
        <v>22439.0</v>
      </c>
      <c r="F30" s="51"/>
      <c r="G30" s="52">
        <f t="shared" si="1"/>
        <v>22439</v>
      </c>
      <c r="H30" s="45"/>
      <c r="I30" s="44"/>
      <c r="J30" s="44"/>
      <c r="K30" s="46"/>
      <c r="L30" s="46" t="s">
        <v>103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5.75" hidden="1" customHeight="1">
      <c r="A31" s="43"/>
      <c r="B31" s="43"/>
      <c r="C31" s="46" t="s">
        <v>104</v>
      </c>
      <c r="D31" s="43"/>
      <c r="E31" s="50">
        <v>25000.0</v>
      </c>
      <c r="F31" s="51"/>
      <c r="G31" s="52">
        <f t="shared" si="1"/>
        <v>25000</v>
      </c>
      <c r="H31" s="45"/>
      <c r="I31" s="44"/>
      <c r="J31" s="44"/>
      <c r="K31" s="46"/>
      <c r="L31" s="46" t="s">
        <v>105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5.75" hidden="1" customHeight="1">
      <c r="A32" s="43"/>
      <c r="B32" s="43"/>
      <c r="C32" s="46" t="s">
        <v>106</v>
      </c>
      <c r="D32" s="43"/>
      <c r="E32" s="50">
        <v>0.0</v>
      </c>
      <c r="F32" s="51"/>
      <c r="G32" s="52">
        <f t="shared" si="1"/>
        <v>0</v>
      </c>
      <c r="H32" s="45"/>
      <c r="I32" s="44"/>
      <c r="J32" s="44"/>
      <c r="K32" s="46"/>
      <c r="L32" s="46" t="s">
        <v>107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5.75" hidden="1" customHeight="1">
      <c r="A33" s="43"/>
      <c r="B33" s="43"/>
      <c r="C33" s="46" t="s">
        <v>108</v>
      </c>
      <c r="D33" s="43"/>
      <c r="E33" s="50">
        <v>0.0</v>
      </c>
      <c r="F33" s="51"/>
      <c r="G33" s="52">
        <f t="shared" si="1"/>
        <v>0</v>
      </c>
      <c r="H33" s="45"/>
      <c r="I33" s="44"/>
      <c r="J33" s="44"/>
      <c r="K33" s="46"/>
      <c r="L33" s="46" t="s">
        <v>109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5.75" hidden="1" customHeight="1">
      <c r="A34" s="43"/>
      <c r="B34" s="43"/>
      <c r="C34" s="53" t="s">
        <v>110</v>
      </c>
      <c r="D34" s="54"/>
      <c r="E34" s="55">
        <f>SUM(E29:E33)</f>
        <v>48469</v>
      </c>
      <c r="F34" s="54"/>
      <c r="G34" s="56">
        <f>SUM(G29:G33)</f>
        <v>48469</v>
      </c>
      <c r="H34" s="57"/>
      <c r="I34" s="44"/>
      <c r="J34" s="44"/>
      <c r="K34" s="46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5.75" hidden="1" customHeight="1">
      <c r="A35" s="43"/>
      <c r="B35" s="43"/>
      <c r="C35" s="46"/>
      <c r="D35" s="43"/>
      <c r="E35" s="59"/>
      <c r="F35" s="43"/>
      <c r="G35" s="60"/>
      <c r="H35" s="45"/>
      <c r="I35" s="44"/>
      <c r="J35" s="44"/>
      <c r="K35" s="46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5.75" hidden="1" customHeight="1">
      <c r="A36" s="43"/>
      <c r="B36" s="43"/>
      <c r="C36" s="46"/>
      <c r="D36" s="43"/>
      <c r="E36" s="59"/>
      <c r="F36" s="43"/>
      <c r="G36" s="60"/>
      <c r="H36" s="45"/>
      <c r="I36" s="44"/>
      <c r="J36" s="44"/>
      <c r="K36" s="46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5.75" customHeight="1">
      <c r="A37" s="43"/>
      <c r="B37" s="43"/>
      <c r="C37" s="62"/>
      <c r="D37" s="62"/>
      <c r="E37" s="63"/>
      <c r="F37" s="63"/>
      <c r="G37" s="64" t="s">
        <v>56</v>
      </c>
      <c r="H37" s="64" t="s">
        <v>111</v>
      </c>
      <c r="I37" s="64"/>
      <c r="J37" s="64"/>
      <c r="K37" s="46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5.75" customHeight="1">
      <c r="A38" s="43"/>
      <c r="B38" s="43"/>
      <c r="C38" s="65" t="s">
        <v>22</v>
      </c>
      <c r="D38" s="62" t="s">
        <v>112</v>
      </c>
      <c r="E38" s="63">
        <f>+E34+E20+E26+E15+E9</f>
        <v>223469</v>
      </c>
      <c r="F38" s="63"/>
      <c r="G38" s="66">
        <f>'Royal Elite'!B2</f>
        <v>300000</v>
      </c>
      <c r="H38" s="66"/>
      <c r="I38" s="66"/>
      <c r="J38" s="66"/>
      <c r="K38" s="46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5.75" hidden="1" customHeight="1">
      <c r="A39" s="43"/>
      <c r="B39" s="43"/>
      <c r="C39" s="65"/>
      <c r="D39" s="62"/>
      <c r="E39" s="63"/>
      <c r="F39" s="62"/>
      <c r="G39" s="67"/>
      <c r="H39" s="45"/>
      <c r="I39" s="44"/>
      <c r="J39" s="44"/>
      <c r="K39" s="46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5.75" hidden="1" customHeight="1">
      <c r="A40" s="43"/>
      <c r="B40" s="43"/>
      <c r="C40" s="65"/>
      <c r="D40" s="62"/>
      <c r="E40" s="63"/>
      <c r="F40" s="62"/>
      <c r="G40" s="67"/>
      <c r="H40" s="45"/>
      <c r="I40" s="44"/>
      <c r="J40" s="44"/>
      <c r="K40" s="46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5.75" hidden="1" customHeight="1">
      <c r="A41" s="43"/>
      <c r="B41" s="43" t="s">
        <v>113</v>
      </c>
      <c r="C41" s="65"/>
      <c r="D41" s="62"/>
      <c r="E41" s="62"/>
      <c r="F41" s="62"/>
      <c r="G41" s="68"/>
      <c r="H41" s="49"/>
      <c r="I41" s="44"/>
      <c r="J41" s="44"/>
      <c r="K41" s="46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8.0" hidden="1" customHeight="1">
      <c r="A42" s="43"/>
      <c r="B42" s="43"/>
      <c r="C42" s="65" t="s">
        <v>114</v>
      </c>
      <c r="D42" s="62"/>
      <c r="E42" s="63">
        <v>25595.0</v>
      </c>
      <c r="F42" s="62"/>
      <c r="G42" s="67">
        <f>+E42</f>
        <v>25595</v>
      </c>
      <c r="H42" s="45"/>
      <c r="I42" s="44"/>
      <c r="J42" s="44"/>
      <c r="K42" s="46"/>
      <c r="L42" s="46" t="s">
        <v>115</v>
      </c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5.75" hidden="1" customHeight="1">
      <c r="A43" s="43"/>
      <c r="B43" s="43"/>
      <c r="C43" s="65" t="s">
        <v>116</v>
      </c>
      <c r="D43" s="62"/>
      <c r="E43" s="63">
        <f>+E15*0.2</f>
        <v>15000</v>
      </c>
      <c r="F43" s="62"/>
      <c r="G43" s="67">
        <f>+G20*0.2</f>
        <v>7000</v>
      </c>
      <c r="H43" s="45"/>
      <c r="I43" s="44"/>
      <c r="J43" s="44"/>
      <c r="K43" s="46"/>
      <c r="L43" s="46" t="s">
        <v>117</v>
      </c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5.75" hidden="1" customHeight="1">
      <c r="A44" s="43" t="s">
        <v>118</v>
      </c>
      <c r="B44" s="69">
        <v>0.3</v>
      </c>
      <c r="C44" s="65" t="s">
        <v>119</v>
      </c>
      <c r="D44" s="62"/>
      <c r="E44" s="63">
        <v>0.0</v>
      </c>
      <c r="F44" s="62"/>
      <c r="G44" s="67">
        <f>+B44*G38</f>
        <v>90000</v>
      </c>
      <c r="H44" s="45"/>
      <c r="I44" s="44"/>
      <c r="J44" s="44"/>
      <c r="K44" s="46"/>
      <c r="L44" s="46" t="s">
        <v>120</v>
      </c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5.75" hidden="1" customHeight="1">
      <c r="A45" s="43"/>
      <c r="B45" s="43"/>
      <c r="C45" s="65" t="s">
        <v>121</v>
      </c>
      <c r="D45" s="62"/>
      <c r="E45" s="63"/>
      <c r="F45" s="62"/>
      <c r="G45" s="67">
        <v>22500.0</v>
      </c>
      <c r="H45" s="45"/>
      <c r="I45" s="44"/>
      <c r="J45" s="44"/>
      <c r="K45" s="70"/>
      <c r="L45" s="46" t="s">
        <v>122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5.75" hidden="1" customHeight="1">
      <c r="A46" s="43" t="s">
        <v>123</v>
      </c>
      <c r="B46" s="69">
        <v>0.25</v>
      </c>
      <c r="C46" s="65" t="s">
        <v>124</v>
      </c>
      <c r="D46" s="62"/>
      <c r="E46" s="63"/>
      <c r="F46" s="62"/>
      <c r="G46" s="67">
        <f>0.25*G6</f>
        <v>10000</v>
      </c>
      <c r="H46" s="45"/>
      <c r="I46" s="44"/>
      <c r="J46" s="44"/>
      <c r="K46" s="70"/>
      <c r="L46" s="46" t="s">
        <v>125</v>
      </c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5.75" hidden="1" customHeight="1">
      <c r="A47" s="43"/>
      <c r="B47" s="43"/>
      <c r="C47" s="65"/>
      <c r="D47" s="62"/>
      <c r="E47" s="63"/>
      <c r="F47" s="62"/>
      <c r="G47" s="67"/>
      <c r="H47" s="45"/>
      <c r="I47" s="44"/>
      <c r="J47" s="44"/>
      <c r="K47" s="46"/>
      <c r="L47" s="46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5.75" hidden="1" customHeight="1">
      <c r="A48" s="43"/>
      <c r="B48" s="43"/>
      <c r="C48" s="65"/>
      <c r="D48" s="62"/>
      <c r="E48" s="63"/>
      <c r="F48" s="62"/>
      <c r="G48" s="67"/>
      <c r="H48" s="45"/>
      <c r="I48" s="44"/>
      <c r="J48" s="44"/>
      <c r="K48" s="46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5.75" hidden="1" customHeight="1">
      <c r="A49" s="43"/>
      <c r="B49" s="43"/>
      <c r="C49" s="65"/>
      <c r="D49" s="62"/>
      <c r="E49" s="63"/>
      <c r="F49" s="62"/>
      <c r="G49" s="67"/>
      <c r="H49" s="45"/>
      <c r="I49" s="44"/>
      <c r="J49" s="44"/>
      <c r="K49" s="46"/>
      <c r="L49" s="46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5.75" hidden="1" customHeight="1">
      <c r="A50" s="43"/>
      <c r="B50" s="43"/>
      <c r="C50" s="65" t="s">
        <v>126</v>
      </c>
      <c r="D50" s="62"/>
      <c r="E50" s="63">
        <f>SUM(E42:E49)</f>
        <v>40595</v>
      </c>
      <c r="F50" s="62"/>
      <c r="G50" s="67">
        <f>SUM(G42:G49)</f>
        <v>155095</v>
      </c>
      <c r="H50" s="57"/>
      <c r="I50" s="44"/>
      <c r="J50" s="44"/>
      <c r="K50" s="46"/>
      <c r="L50" s="46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5.75" hidden="1" customHeight="1">
      <c r="A51" s="43"/>
      <c r="B51" s="43"/>
      <c r="C51" s="65"/>
      <c r="D51" s="62"/>
      <c r="E51" s="63"/>
      <c r="F51" s="62"/>
      <c r="G51" s="67"/>
      <c r="H51" s="45"/>
      <c r="I51" s="44"/>
      <c r="J51" s="44"/>
      <c r="K51" s="59"/>
      <c r="L51" s="46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5.75" hidden="1" customHeight="1">
      <c r="A52" s="43"/>
      <c r="B52" s="43"/>
      <c r="C52" s="65" t="s">
        <v>127</v>
      </c>
      <c r="D52" s="62"/>
      <c r="E52" s="63">
        <f>+E38-E50</f>
        <v>182874</v>
      </c>
      <c r="F52" s="63"/>
      <c r="G52" s="67">
        <f>+G38-G50</f>
        <v>144905</v>
      </c>
      <c r="H52" s="71"/>
      <c r="I52" s="44"/>
      <c r="J52" s="44"/>
      <c r="K52" s="46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5.75" hidden="1" customHeight="1">
      <c r="A53" s="43"/>
      <c r="B53" s="43"/>
      <c r="C53" s="65"/>
      <c r="D53" s="62"/>
      <c r="E53" s="63"/>
      <c r="F53" s="62"/>
      <c r="G53" s="67"/>
      <c r="H53" s="45"/>
      <c r="I53" s="44"/>
      <c r="J53" s="44"/>
      <c r="K53" s="46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5.75" hidden="1" customHeight="1">
      <c r="A54" s="43"/>
      <c r="B54" s="43"/>
      <c r="C54" s="65"/>
      <c r="D54" s="62"/>
      <c r="E54" s="63"/>
      <c r="F54" s="62"/>
      <c r="G54" s="67"/>
      <c r="H54" s="45"/>
      <c r="I54" s="44"/>
      <c r="J54" s="44"/>
      <c r="K54" s="46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5.75" hidden="1" customHeight="1">
      <c r="A55" s="43"/>
      <c r="B55" s="43"/>
      <c r="C55" s="65"/>
      <c r="D55" s="62"/>
      <c r="E55" s="62"/>
      <c r="F55" s="62"/>
      <c r="G55" s="68"/>
      <c r="H55" s="45"/>
      <c r="I55" s="44"/>
      <c r="J55" s="44"/>
      <c r="K55" s="46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5.75" hidden="1" customHeight="1">
      <c r="A56" s="58"/>
      <c r="B56" s="43"/>
      <c r="C56" s="65" t="s">
        <v>128</v>
      </c>
      <c r="D56" s="62"/>
      <c r="E56" s="63">
        <f>+Actuals!B5</f>
        <v>38750.86</v>
      </c>
      <c r="F56" s="62"/>
      <c r="G56" s="67">
        <f>+Estimate!B5</f>
        <v>28612.46</v>
      </c>
      <c r="H56" s="45"/>
      <c r="I56" s="44"/>
      <c r="J56" s="60"/>
      <c r="K56" s="46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5.75" hidden="1" customHeight="1">
      <c r="A57" s="43"/>
      <c r="B57" s="43"/>
      <c r="C57" s="65" t="s">
        <v>129</v>
      </c>
      <c r="D57" s="62"/>
      <c r="E57" s="63">
        <f>SUM(E56)</f>
        <v>38750.86</v>
      </c>
      <c r="F57" s="63"/>
      <c r="G57" s="67">
        <f>SUM(G56)</f>
        <v>28612.46</v>
      </c>
      <c r="H57" s="71"/>
      <c r="I57" s="44"/>
      <c r="J57" s="44"/>
      <c r="K57" s="46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5.75" hidden="1" customHeight="1">
      <c r="A58" s="43"/>
      <c r="B58" s="43"/>
      <c r="C58" s="65"/>
      <c r="D58" s="62"/>
      <c r="E58" s="62"/>
      <c r="F58" s="62"/>
      <c r="G58" s="68"/>
      <c r="H58" s="45"/>
      <c r="I58" s="44"/>
      <c r="J58" s="44"/>
      <c r="K58" s="46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5.75" hidden="1" customHeight="1">
      <c r="A59" s="43"/>
      <c r="B59" s="43"/>
      <c r="C59" s="65" t="s">
        <v>130</v>
      </c>
      <c r="D59" s="62"/>
      <c r="E59" s="72">
        <f>+E56/E52</f>
        <v>0.2118992312</v>
      </c>
      <c r="F59" s="62"/>
      <c r="G59" s="73">
        <f>+G56/G52</f>
        <v>0.1974566785</v>
      </c>
      <c r="H59" s="45"/>
      <c r="I59" s="44"/>
      <c r="J59" s="44"/>
      <c r="K59" s="46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5.75" hidden="1" customHeight="1">
      <c r="A60" s="43"/>
      <c r="B60" s="43"/>
      <c r="C60" s="65"/>
      <c r="D60" s="62"/>
      <c r="E60" s="62"/>
      <c r="F60" s="62"/>
      <c r="G60" s="68"/>
      <c r="H60" s="45"/>
      <c r="I60" s="44"/>
      <c r="J60" s="44"/>
      <c r="K60" s="46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5.75" hidden="1" customHeight="1">
      <c r="A61" s="74"/>
      <c r="B61" s="43"/>
      <c r="C61" s="65" t="s">
        <v>131</v>
      </c>
      <c r="D61" s="62"/>
      <c r="E61" s="63"/>
      <c r="F61" s="63"/>
      <c r="G61" s="67">
        <f>+E57-G57</f>
        <v>10138.4</v>
      </c>
      <c r="H61" s="75"/>
      <c r="I61" s="76"/>
      <c r="J61" s="76"/>
      <c r="K61" s="46"/>
      <c r="L61" s="46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5.75" hidden="1" customHeight="1">
      <c r="A62" s="43"/>
      <c r="B62" s="43"/>
      <c r="C62" s="65"/>
      <c r="D62" s="62"/>
      <c r="E62" s="62"/>
      <c r="F62" s="62"/>
      <c r="G62" s="68"/>
      <c r="H62" s="45"/>
      <c r="I62" s="44"/>
      <c r="J62" s="44"/>
      <c r="K62" s="46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5.75" hidden="1" customHeight="1">
      <c r="A63" s="43"/>
      <c r="B63" s="43"/>
      <c r="C63" s="65"/>
      <c r="D63" s="62"/>
      <c r="E63" s="62"/>
      <c r="F63" s="62"/>
      <c r="G63" s="68"/>
      <c r="H63" s="45"/>
      <c r="I63" s="44"/>
      <c r="J63" s="44"/>
      <c r="K63" s="46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5.75" hidden="1" customHeight="1">
      <c r="A64" s="43"/>
      <c r="B64" s="43"/>
      <c r="C64" s="65"/>
      <c r="D64" s="62"/>
      <c r="E64" s="63"/>
      <c r="F64" s="62"/>
      <c r="G64" s="67"/>
      <c r="H64" s="45"/>
      <c r="I64" s="44"/>
      <c r="J64" s="44"/>
      <c r="K64" s="46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5.75" hidden="1" customHeight="1">
      <c r="A65" s="43"/>
      <c r="B65" s="43" t="s">
        <v>132</v>
      </c>
      <c r="C65" s="65"/>
      <c r="D65" s="62"/>
      <c r="E65" s="62"/>
      <c r="F65" s="62"/>
      <c r="G65" s="68"/>
      <c r="H65" s="45"/>
      <c r="I65" s="44"/>
      <c r="J65" s="44"/>
      <c r="K65" s="46"/>
      <c r="L65" s="46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5.75" hidden="1" customHeight="1">
      <c r="A66" s="43"/>
      <c r="B66" s="43"/>
      <c r="C66" s="65" t="s">
        <v>133</v>
      </c>
      <c r="D66" s="62"/>
      <c r="E66" s="62"/>
      <c r="F66" s="62"/>
      <c r="G66" s="67">
        <f>-'Royal Wealth'!E21</f>
        <v>-800000</v>
      </c>
      <c r="H66" s="45"/>
      <c r="I66" s="44"/>
      <c r="J66" s="44"/>
      <c r="K66" s="46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5.75" hidden="1" customHeight="1">
      <c r="A67" s="43"/>
      <c r="B67" s="43"/>
      <c r="C67" s="65"/>
      <c r="D67" s="62"/>
      <c r="E67" s="62"/>
      <c r="F67" s="62"/>
      <c r="G67" s="67"/>
      <c r="H67" s="45"/>
      <c r="I67" s="44"/>
      <c r="J67" s="44"/>
      <c r="K67" s="46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5.75" hidden="1" customHeight="1">
      <c r="A68" s="43"/>
      <c r="B68" s="43"/>
      <c r="C68" s="65" t="s">
        <v>128</v>
      </c>
      <c r="D68" s="62"/>
      <c r="E68" s="62"/>
      <c r="F68" s="62"/>
      <c r="G68" s="67">
        <f>IFERROR(Syndications!B5,0)</f>
        <v>0</v>
      </c>
      <c r="H68" s="45"/>
      <c r="I68" s="44"/>
      <c r="J68" s="44"/>
      <c r="K68" s="46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5.75" customHeight="1">
      <c r="A69" s="43"/>
      <c r="B69" s="43"/>
      <c r="C69" s="65" t="s">
        <v>134</v>
      </c>
      <c r="D69" s="62"/>
      <c r="E69" s="63"/>
      <c r="F69" s="63"/>
      <c r="G69" s="77">
        <f>G38*0.3*G79</f>
        <v>22500</v>
      </c>
      <c r="H69" s="66"/>
      <c r="I69" s="66"/>
      <c r="J69" s="66"/>
      <c r="K69" s="46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5.75" hidden="1" customHeight="1">
      <c r="A70" s="43"/>
      <c r="B70" s="43"/>
      <c r="C70" s="78"/>
      <c r="D70" s="43"/>
      <c r="E70" s="43"/>
      <c r="F70" s="43"/>
      <c r="G70" s="44"/>
      <c r="H70" s="66"/>
      <c r="I70" s="66"/>
      <c r="J70" s="66"/>
      <c r="K70" s="46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5.75" hidden="1" customHeight="1">
      <c r="A71" s="43"/>
      <c r="B71" s="43"/>
      <c r="C71" s="48" t="s">
        <v>130</v>
      </c>
      <c r="D71" s="48"/>
      <c r="E71" s="48"/>
      <c r="F71" s="48"/>
      <c r="G71" s="71">
        <f>+G68/G52</f>
        <v>0</v>
      </c>
      <c r="H71" s="66"/>
      <c r="I71" s="66"/>
      <c r="J71" s="66"/>
      <c r="K71" s="46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5.75" hidden="1" customHeight="1">
      <c r="A72" s="43"/>
      <c r="B72" s="43"/>
      <c r="C72" s="78"/>
      <c r="D72" s="43"/>
      <c r="E72" s="43"/>
      <c r="F72" s="43"/>
      <c r="G72" s="44"/>
      <c r="H72" s="66"/>
      <c r="I72" s="66"/>
      <c r="J72" s="66"/>
      <c r="K72" s="46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5.75" hidden="1" customHeight="1">
      <c r="A73" s="43"/>
      <c r="B73" s="43"/>
      <c r="C73" s="57" t="s">
        <v>135</v>
      </c>
      <c r="D73" s="43"/>
      <c r="E73" s="43"/>
      <c r="F73" s="43"/>
      <c r="G73" s="79">
        <f>+'Royal Wealth'!B21</f>
        <v>0.1425</v>
      </c>
      <c r="H73" s="66"/>
      <c r="I73" s="66"/>
      <c r="J73" s="66"/>
      <c r="K73" s="46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5.75" hidden="1" customHeight="1">
      <c r="A74" s="43"/>
      <c r="B74" s="43"/>
      <c r="C74" s="78"/>
      <c r="D74" s="43"/>
      <c r="E74" s="43"/>
      <c r="F74" s="43"/>
      <c r="G74" s="44"/>
      <c r="H74" s="66"/>
      <c r="I74" s="66"/>
      <c r="J74" s="66"/>
      <c r="K74" s="46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5.75" hidden="1" customHeight="1">
      <c r="A75" s="43"/>
      <c r="B75" s="43"/>
      <c r="C75" s="48" t="s">
        <v>136</v>
      </c>
      <c r="D75" s="48"/>
      <c r="E75" s="48"/>
      <c r="F75" s="48"/>
      <c r="G75" s="71">
        <f>+G69+'Royal Wealth'!B15</f>
        <v>142500</v>
      </c>
      <c r="H75" s="66"/>
      <c r="I75" s="66"/>
      <c r="J75" s="66"/>
      <c r="K75" s="46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5.75" hidden="1" customHeight="1">
      <c r="A76" s="43"/>
      <c r="B76" s="43"/>
      <c r="C76" s="78"/>
      <c r="D76" s="43"/>
      <c r="E76" s="43"/>
      <c r="F76" s="43"/>
      <c r="G76" s="44"/>
      <c r="H76" s="66"/>
      <c r="I76" s="66"/>
      <c r="J76" s="66"/>
      <c r="K76" s="46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5.75" hidden="1" customHeight="1">
      <c r="A77" s="43"/>
      <c r="B77" s="43"/>
      <c r="C77" s="48" t="s">
        <v>137</v>
      </c>
      <c r="D77" s="48"/>
      <c r="E77" s="48"/>
      <c r="F77" s="48"/>
      <c r="G77" s="71">
        <f>+'Royal Wealth'!B25</f>
        <v>1389519.385</v>
      </c>
      <c r="H77" s="66"/>
      <c r="I77" s="66"/>
      <c r="J77" s="66"/>
      <c r="K77" s="46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5.75" customHeight="1">
      <c r="A78" s="43"/>
      <c r="B78" s="43"/>
      <c r="C78" s="65" t="s">
        <v>36</v>
      </c>
      <c r="D78" s="62"/>
      <c r="E78" s="63"/>
      <c r="F78" s="63"/>
      <c r="G78" s="80">
        <v>1.2</v>
      </c>
      <c r="H78" s="81">
        <v>0.8</v>
      </c>
      <c r="I78" s="81"/>
      <c r="J78" s="81"/>
      <c r="K78" s="46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5.75" customHeight="1">
      <c r="A79" s="43"/>
      <c r="B79" s="43"/>
      <c r="C79" s="65" t="s">
        <v>138</v>
      </c>
      <c r="D79" s="43"/>
      <c r="E79" s="43"/>
      <c r="F79" s="43"/>
      <c r="G79" s="82">
        <f>'Royal Elite'!B3</f>
        <v>0.25</v>
      </c>
      <c r="H79" s="82"/>
      <c r="I79" s="82"/>
      <c r="J79" s="82"/>
      <c r="K79" s="46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5.75" customHeight="1">
      <c r="A80" s="43"/>
      <c r="B80" s="43"/>
      <c r="C80" s="65" t="s">
        <v>31</v>
      </c>
      <c r="D80" s="43"/>
      <c r="E80" s="43"/>
      <c r="F80" s="43"/>
      <c r="G80" s="66"/>
      <c r="H80" s="66"/>
      <c r="I80" s="66"/>
      <c r="J80" s="66"/>
      <c r="K80" s="46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5.75" customHeight="1">
      <c r="A81" s="43"/>
      <c r="B81" s="43"/>
      <c r="C81" s="83" t="s">
        <v>139</v>
      </c>
      <c r="D81" s="84"/>
      <c r="E81" s="84"/>
      <c r="F81" s="84"/>
      <c r="G81" s="85">
        <f>G80*G79*G78</f>
        <v>0</v>
      </c>
      <c r="H81" s="66"/>
      <c r="I81" s="66"/>
      <c r="J81" s="66"/>
      <c r="K81" s="46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5.75" customHeight="1">
      <c r="A82" s="43"/>
      <c r="B82" s="86"/>
      <c r="C82" s="83" t="s">
        <v>140</v>
      </c>
      <c r="D82" s="22"/>
      <c r="E82" s="22"/>
      <c r="F82" s="22"/>
      <c r="G82" s="85">
        <f>G80*0.2</f>
        <v>0</v>
      </c>
      <c r="H82" s="87"/>
      <c r="I82" s="44"/>
      <c r="J82" s="44"/>
      <c r="K82" s="46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5.75" customHeight="1">
      <c r="A83" s="43"/>
      <c r="B83" s="86"/>
      <c r="C83" s="83"/>
      <c r="D83" s="22"/>
      <c r="E83" s="22"/>
      <c r="F83" s="22"/>
      <c r="G83" s="83"/>
      <c r="H83" s="87"/>
      <c r="I83" s="44"/>
      <c r="J83" s="44"/>
      <c r="K83" s="46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5.75" customHeight="1">
      <c r="A84" s="43"/>
      <c r="B84" s="86"/>
      <c r="C84" s="22"/>
      <c r="D84" s="22"/>
      <c r="E84" s="22"/>
      <c r="F84" s="22"/>
      <c r="G84" s="22"/>
      <c r="H84" s="87"/>
      <c r="I84" s="44"/>
      <c r="J84" s="44"/>
      <c r="K84" s="46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5.75" customHeight="1">
      <c r="A85" s="43"/>
      <c r="B85" s="43"/>
      <c r="C85" s="65" t="s">
        <v>141</v>
      </c>
      <c r="D85" s="88"/>
      <c r="E85" s="88"/>
      <c r="F85" s="88"/>
      <c r="G85" s="89"/>
      <c r="H85" s="45"/>
      <c r="I85" s="44"/>
      <c r="J85" s="44"/>
      <c r="K85" s="46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5.75" customHeight="1">
      <c r="A86" s="43"/>
      <c r="B86" s="43"/>
      <c r="C86" s="65" t="s">
        <v>142</v>
      </c>
      <c r="D86" s="43"/>
      <c r="E86" s="43"/>
      <c r="F86" s="43"/>
      <c r="G86" s="90">
        <f>(Graphs!F12-Graphs!E4)/Graphs!E4</f>
        <v>7.796266523</v>
      </c>
      <c r="H86" s="45"/>
      <c r="I86" s="44"/>
      <c r="J86" s="44"/>
      <c r="K86" s="46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15.75" customHeight="1">
      <c r="A87" s="43"/>
      <c r="B87" s="43"/>
      <c r="C87" s="65" t="s">
        <v>143</v>
      </c>
      <c r="D87" s="43"/>
      <c r="E87" s="43"/>
      <c r="F87" s="43"/>
      <c r="G87" s="90">
        <f>(Graphs!F27-Graphs!E4)/Graphs!E4</f>
        <v>226.1567312</v>
      </c>
      <c r="H87" s="45"/>
      <c r="I87" s="44"/>
      <c r="J87" s="44"/>
      <c r="K87" s="46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15.75" customHeight="1">
      <c r="A88" s="43"/>
      <c r="B88" s="43"/>
      <c r="C88" s="43"/>
      <c r="D88" s="43"/>
      <c r="E88" s="43"/>
      <c r="F88" s="43"/>
      <c r="G88" s="44"/>
      <c r="H88" s="45"/>
      <c r="I88" s="44"/>
      <c r="J88" s="44"/>
      <c r="K88" s="46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15.75" customHeight="1">
      <c r="A89" s="43"/>
      <c r="B89" s="43"/>
      <c r="C89" s="62"/>
      <c r="D89" s="43"/>
      <c r="E89" s="43"/>
      <c r="F89" s="43"/>
      <c r="G89" s="66"/>
      <c r="H89" s="66"/>
      <c r="I89" s="66"/>
      <c r="J89" s="66"/>
      <c r="K89" s="46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15.75" customHeight="1">
      <c r="A90" s="43"/>
      <c r="B90" s="43"/>
      <c r="C90" s="43"/>
      <c r="D90" s="43"/>
      <c r="E90" s="43"/>
      <c r="F90" s="43"/>
      <c r="G90" s="44"/>
      <c r="H90" s="45"/>
      <c r="I90" s="44"/>
      <c r="J90" s="44"/>
      <c r="K90" s="46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15.75" customHeight="1">
      <c r="A91" s="43"/>
      <c r="B91" s="43"/>
      <c r="C91" s="43"/>
      <c r="D91" s="43"/>
      <c r="E91" s="43"/>
      <c r="F91" s="43"/>
      <c r="G91" s="44"/>
      <c r="H91" s="45"/>
      <c r="I91" s="44"/>
      <c r="J91" s="44"/>
      <c r="K91" s="46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15.75" customHeight="1">
      <c r="A92" s="43"/>
      <c r="B92" s="43"/>
      <c r="C92" s="43"/>
      <c r="D92" s="43"/>
      <c r="E92" s="43"/>
      <c r="F92" s="43"/>
      <c r="G92" s="44"/>
      <c r="H92" s="45"/>
      <c r="I92" s="44"/>
      <c r="J92" s="44"/>
      <c r="K92" s="46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15.75" customHeight="1">
      <c r="A93" s="43"/>
      <c r="B93" s="43"/>
      <c r="C93" s="43"/>
      <c r="D93" s="43"/>
      <c r="E93" s="43"/>
      <c r="F93" s="43"/>
      <c r="G93" s="44"/>
      <c r="H93" s="45"/>
      <c r="I93" s="44"/>
      <c r="J93" s="44"/>
      <c r="K93" s="46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15.75" customHeight="1">
      <c r="A94" s="43"/>
      <c r="B94" s="43"/>
      <c r="C94" s="91" t="s">
        <v>144</v>
      </c>
      <c r="D94" s="92"/>
      <c r="E94" s="93">
        <v>20000.0</v>
      </c>
      <c r="F94" s="43"/>
      <c r="G94" s="44"/>
      <c r="H94" s="45"/>
      <c r="I94" s="44"/>
      <c r="J94" s="44"/>
      <c r="K94" s="46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15.75" customHeight="1">
      <c r="A95" s="43"/>
      <c r="B95" s="43"/>
      <c r="C95" s="91" t="s">
        <v>145</v>
      </c>
      <c r="D95" s="92"/>
      <c r="E95" s="93">
        <f>+'Royal Wealth'!B14</f>
        <v>0</v>
      </c>
      <c r="F95" s="43"/>
      <c r="G95" s="44"/>
      <c r="H95" s="44"/>
      <c r="I95" s="44"/>
      <c r="J95" s="44"/>
      <c r="K95" s="46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15.75" customHeight="1">
      <c r="A96" s="43"/>
      <c r="B96" s="43"/>
      <c r="C96" s="43"/>
      <c r="D96" s="43"/>
      <c r="E96" s="43"/>
      <c r="F96" s="43"/>
      <c r="G96" s="44"/>
      <c r="H96" s="45"/>
      <c r="I96" s="44"/>
      <c r="J96" s="44"/>
      <c r="K96" s="46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15.75" customHeight="1">
      <c r="A97" s="43"/>
      <c r="B97" s="43"/>
      <c r="C97" s="43"/>
      <c r="D97" s="43"/>
      <c r="E97" s="43"/>
      <c r="F97" s="43"/>
      <c r="G97" s="44"/>
      <c r="H97" s="45"/>
      <c r="I97" s="44"/>
      <c r="J97" s="44"/>
      <c r="K97" s="46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15.75" customHeight="1">
      <c r="A98" s="43"/>
      <c r="B98" s="43"/>
      <c r="C98" s="43"/>
      <c r="D98" s="43"/>
      <c r="E98" s="43"/>
      <c r="F98" s="43"/>
      <c r="G98" s="44"/>
      <c r="H98" s="45"/>
      <c r="I98" s="44"/>
      <c r="J98" s="44"/>
      <c r="K98" s="46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15.75" customHeight="1">
      <c r="A99" s="43"/>
      <c r="B99" s="43"/>
      <c r="C99" s="43"/>
      <c r="D99" s="43"/>
      <c r="E99" s="43"/>
      <c r="F99" s="43"/>
      <c r="G99" s="44"/>
      <c r="H99" s="45"/>
      <c r="I99" s="44"/>
      <c r="J99" s="44"/>
      <c r="K99" s="46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5.75" customHeight="1">
      <c r="A100" s="43"/>
      <c r="B100" s="43"/>
      <c r="C100" s="43"/>
      <c r="D100" s="43"/>
      <c r="E100" s="43"/>
      <c r="F100" s="43"/>
      <c r="G100" s="44"/>
      <c r="H100" s="45"/>
      <c r="I100" s="44"/>
      <c r="J100" s="44"/>
      <c r="K100" s="46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ht="15.75" customHeight="1">
      <c r="A101" s="43"/>
      <c r="B101" s="43"/>
      <c r="C101" s="43"/>
      <c r="D101" s="43"/>
      <c r="E101" s="43"/>
      <c r="F101" s="43"/>
      <c r="G101" s="44"/>
      <c r="H101" s="45"/>
      <c r="I101" s="44"/>
      <c r="J101" s="44"/>
      <c r="K101" s="46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5.75" customHeight="1">
      <c r="A102" s="43"/>
      <c r="B102" s="43"/>
      <c r="C102" s="43"/>
      <c r="D102" s="43"/>
      <c r="E102" s="43"/>
      <c r="F102" s="43"/>
      <c r="G102" s="44"/>
      <c r="H102" s="45"/>
      <c r="I102" s="44"/>
      <c r="J102" s="44"/>
      <c r="K102" s="46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15.75" customHeight="1">
      <c r="A103" s="43"/>
      <c r="B103" s="43"/>
      <c r="C103" s="43"/>
      <c r="D103" s="43"/>
      <c r="E103" s="43"/>
      <c r="F103" s="43"/>
      <c r="G103" s="44"/>
      <c r="H103" s="45"/>
      <c r="I103" s="44"/>
      <c r="J103" s="44"/>
      <c r="K103" s="46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5.75" customHeight="1">
      <c r="A104" s="43"/>
      <c r="B104" s="43"/>
      <c r="C104" s="43"/>
      <c r="D104" s="43"/>
      <c r="E104" s="43"/>
      <c r="F104" s="43"/>
      <c r="G104" s="44"/>
      <c r="H104" s="45"/>
      <c r="I104" s="44"/>
      <c r="J104" s="44"/>
      <c r="K104" s="46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15.75" customHeight="1">
      <c r="A105" s="43"/>
      <c r="B105" s="43"/>
      <c r="C105" s="43"/>
      <c r="D105" s="43"/>
      <c r="E105" s="43"/>
      <c r="F105" s="43"/>
      <c r="G105" s="44"/>
      <c r="H105" s="45"/>
      <c r="I105" s="44"/>
      <c r="J105" s="44"/>
      <c r="K105" s="46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15.75" customHeight="1">
      <c r="A106" s="43"/>
      <c r="B106" s="43"/>
      <c r="C106" s="43"/>
      <c r="D106" s="43"/>
      <c r="E106" s="43"/>
      <c r="F106" s="43"/>
      <c r="G106" s="44"/>
      <c r="H106" s="45"/>
      <c r="I106" s="44"/>
      <c r="J106" s="44"/>
      <c r="K106" s="46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15.75" customHeight="1">
      <c r="A107" s="43"/>
      <c r="B107" s="43"/>
      <c r="C107" s="43"/>
      <c r="D107" s="43"/>
      <c r="E107" s="43"/>
      <c r="F107" s="43"/>
      <c r="G107" s="44"/>
      <c r="H107" s="45"/>
      <c r="I107" s="44"/>
      <c r="J107" s="44"/>
      <c r="K107" s="46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15.75" customHeight="1">
      <c r="A108" s="43"/>
      <c r="B108" s="43"/>
      <c r="C108" s="43"/>
      <c r="D108" s="43"/>
      <c r="E108" s="43"/>
      <c r="F108" s="43"/>
      <c r="G108" s="44"/>
      <c r="H108" s="45"/>
      <c r="I108" s="44"/>
      <c r="J108" s="44"/>
      <c r="K108" s="46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5.75" customHeight="1">
      <c r="A109" s="43"/>
      <c r="B109" s="43"/>
      <c r="C109" s="43"/>
      <c r="D109" s="43"/>
      <c r="E109" s="43"/>
      <c r="F109" s="43"/>
      <c r="G109" s="44"/>
      <c r="H109" s="45"/>
      <c r="I109" s="44"/>
      <c r="J109" s="44"/>
      <c r="K109" s="46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5.75" customHeight="1">
      <c r="A110" s="43"/>
      <c r="B110" s="43"/>
      <c r="C110" s="43"/>
      <c r="D110" s="43"/>
      <c r="E110" s="43"/>
      <c r="F110" s="43"/>
      <c r="G110" s="44"/>
      <c r="H110" s="45"/>
      <c r="I110" s="44"/>
      <c r="J110" s="44"/>
      <c r="K110" s="46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5.75" customHeight="1">
      <c r="A111" s="43"/>
      <c r="B111" s="43"/>
      <c r="C111" s="43"/>
      <c r="D111" s="43"/>
      <c r="E111" s="43"/>
      <c r="F111" s="43"/>
      <c r="G111" s="44"/>
      <c r="H111" s="45"/>
      <c r="I111" s="44"/>
      <c r="J111" s="44"/>
      <c r="K111" s="46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5.75" customHeight="1">
      <c r="A112" s="43"/>
      <c r="B112" s="43"/>
      <c r="C112" s="43"/>
      <c r="D112" s="43"/>
      <c r="E112" s="43"/>
      <c r="F112" s="43"/>
      <c r="G112" s="44"/>
      <c r="H112" s="45"/>
      <c r="I112" s="44"/>
      <c r="J112" s="44"/>
      <c r="K112" s="46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5.75" customHeight="1">
      <c r="A113" s="43"/>
      <c r="B113" s="43"/>
      <c r="C113" s="43"/>
      <c r="D113" s="43"/>
      <c r="E113" s="43"/>
      <c r="F113" s="43"/>
      <c r="G113" s="44"/>
      <c r="H113" s="45"/>
      <c r="I113" s="44"/>
      <c r="J113" s="44"/>
      <c r="K113" s="46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5.75" customHeight="1">
      <c r="A114" s="43"/>
      <c r="B114" s="43"/>
      <c r="C114" s="43"/>
      <c r="D114" s="43"/>
      <c r="E114" s="43"/>
      <c r="F114" s="43"/>
      <c r="G114" s="44"/>
      <c r="H114" s="45"/>
      <c r="I114" s="44"/>
      <c r="J114" s="44"/>
      <c r="K114" s="46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5.75" customHeight="1">
      <c r="A115" s="43"/>
      <c r="B115" s="43"/>
      <c r="C115" s="43"/>
      <c r="D115" s="43"/>
      <c r="E115" s="43"/>
      <c r="F115" s="43"/>
      <c r="G115" s="44"/>
      <c r="H115" s="45"/>
      <c r="I115" s="44"/>
      <c r="J115" s="44"/>
      <c r="K115" s="46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15.75" customHeight="1">
      <c r="A116" s="43"/>
      <c r="B116" s="43"/>
      <c r="C116" s="43"/>
      <c r="D116" s="43"/>
      <c r="E116" s="43"/>
      <c r="F116" s="43"/>
      <c r="G116" s="44"/>
      <c r="H116" s="45"/>
      <c r="I116" s="44"/>
      <c r="J116" s="44"/>
      <c r="K116" s="46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15.75" customHeight="1">
      <c r="A117" s="43"/>
      <c r="B117" s="43"/>
      <c r="C117" s="43"/>
      <c r="D117" s="43"/>
      <c r="E117" s="43"/>
      <c r="F117" s="43"/>
      <c r="G117" s="44"/>
      <c r="H117" s="45"/>
      <c r="I117" s="44"/>
      <c r="J117" s="44"/>
      <c r="K117" s="46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15.75" customHeight="1">
      <c r="A118" s="43"/>
      <c r="B118" s="43"/>
      <c r="C118" s="43"/>
      <c r="D118" s="43"/>
      <c r="E118" s="43"/>
      <c r="F118" s="43"/>
      <c r="G118" s="44"/>
      <c r="H118" s="45"/>
      <c r="I118" s="44"/>
      <c r="J118" s="44"/>
      <c r="K118" s="46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ht="15.75" customHeight="1">
      <c r="A119" s="43"/>
      <c r="B119" s="43"/>
      <c r="C119" s="43"/>
      <c r="D119" s="43"/>
      <c r="E119" s="43"/>
      <c r="F119" s="43"/>
      <c r="G119" s="44"/>
      <c r="H119" s="45"/>
      <c r="I119" s="44"/>
      <c r="J119" s="44"/>
      <c r="K119" s="46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ht="15.75" customHeight="1">
      <c r="A120" s="43"/>
      <c r="B120" s="43"/>
      <c r="C120" s="43"/>
      <c r="D120" s="43"/>
      <c r="E120" s="43"/>
      <c r="F120" s="43"/>
      <c r="G120" s="44"/>
      <c r="H120" s="45"/>
      <c r="I120" s="44"/>
      <c r="J120" s="44"/>
      <c r="K120" s="46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ht="15.75" customHeight="1">
      <c r="A121" s="43"/>
      <c r="B121" s="43"/>
      <c r="C121" s="43"/>
      <c r="D121" s="43"/>
      <c r="E121" s="43"/>
      <c r="F121" s="43"/>
      <c r="G121" s="44"/>
      <c r="H121" s="45"/>
      <c r="I121" s="44"/>
      <c r="J121" s="44"/>
      <c r="K121" s="46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ht="15.75" customHeight="1">
      <c r="A122" s="43"/>
      <c r="B122" s="43"/>
      <c r="C122" s="43"/>
      <c r="D122" s="43"/>
      <c r="E122" s="43"/>
      <c r="F122" s="43"/>
      <c r="G122" s="44"/>
      <c r="H122" s="45"/>
      <c r="I122" s="44"/>
      <c r="J122" s="44"/>
      <c r="K122" s="46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ht="15.75" customHeight="1">
      <c r="A123" s="43"/>
      <c r="B123" s="43"/>
      <c r="C123" s="43"/>
      <c r="D123" s="43"/>
      <c r="E123" s="43"/>
      <c r="F123" s="43"/>
      <c r="G123" s="44"/>
      <c r="H123" s="45"/>
      <c r="I123" s="44"/>
      <c r="J123" s="44"/>
      <c r="K123" s="46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15.75" customHeight="1">
      <c r="A124" s="43"/>
      <c r="B124" s="43"/>
      <c r="C124" s="43"/>
      <c r="D124" s="43"/>
      <c r="E124" s="43"/>
      <c r="F124" s="43"/>
      <c r="G124" s="44"/>
      <c r="H124" s="45"/>
      <c r="I124" s="44"/>
      <c r="J124" s="44"/>
      <c r="K124" s="46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ht="15.75" customHeight="1">
      <c r="A125" s="43"/>
      <c r="B125" s="43"/>
      <c r="C125" s="43"/>
      <c r="D125" s="43"/>
      <c r="E125" s="43"/>
      <c r="F125" s="43"/>
      <c r="G125" s="44"/>
      <c r="H125" s="45"/>
      <c r="I125" s="44"/>
      <c r="J125" s="44"/>
      <c r="K125" s="46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ht="15.75" customHeight="1">
      <c r="A126" s="43"/>
      <c r="B126" s="43"/>
      <c r="C126" s="43"/>
      <c r="D126" s="43"/>
      <c r="E126" s="43"/>
      <c r="F126" s="43"/>
      <c r="G126" s="44"/>
      <c r="H126" s="45"/>
      <c r="I126" s="44"/>
      <c r="J126" s="44"/>
      <c r="K126" s="46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ht="15.75" customHeight="1">
      <c r="A127" s="43"/>
      <c r="B127" s="43"/>
      <c r="C127" s="43"/>
      <c r="D127" s="43"/>
      <c r="E127" s="43"/>
      <c r="F127" s="43"/>
      <c r="G127" s="44"/>
      <c r="H127" s="45"/>
      <c r="I127" s="44"/>
      <c r="J127" s="44"/>
      <c r="K127" s="46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ht="15.75" customHeight="1">
      <c r="A128" s="43"/>
      <c r="B128" s="43"/>
      <c r="C128" s="43"/>
      <c r="D128" s="43"/>
      <c r="E128" s="43"/>
      <c r="F128" s="43"/>
      <c r="G128" s="44"/>
      <c r="H128" s="45"/>
      <c r="I128" s="44"/>
      <c r="J128" s="44"/>
      <c r="K128" s="46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15.75" customHeight="1">
      <c r="A129" s="43"/>
      <c r="B129" s="43"/>
      <c r="C129" s="43"/>
      <c r="D129" s="43"/>
      <c r="E129" s="43"/>
      <c r="F129" s="43"/>
      <c r="G129" s="44"/>
      <c r="H129" s="45"/>
      <c r="I129" s="44"/>
      <c r="J129" s="44"/>
      <c r="K129" s="46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ht="15.75" customHeight="1">
      <c r="A130" s="43"/>
      <c r="B130" s="43"/>
      <c r="C130" s="43"/>
      <c r="D130" s="43"/>
      <c r="E130" s="43"/>
      <c r="F130" s="43"/>
      <c r="G130" s="44"/>
      <c r="H130" s="45"/>
      <c r="I130" s="44"/>
      <c r="J130" s="44"/>
      <c r="K130" s="46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ht="15.75" customHeight="1">
      <c r="A131" s="43"/>
      <c r="B131" s="43"/>
      <c r="C131" s="43"/>
      <c r="D131" s="43"/>
      <c r="E131" s="43"/>
      <c r="F131" s="43"/>
      <c r="G131" s="44"/>
      <c r="H131" s="45"/>
      <c r="I131" s="44"/>
      <c r="J131" s="44"/>
      <c r="K131" s="46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ht="15.75" customHeight="1">
      <c r="A132" s="43"/>
      <c r="B132" s="43"/>
      <c r="C132" s="43"/>
      <c r="D132" s="43"/>
      <c r="E132" s="43"/>
      <c r="F132" s="43"/>
      <c r="G132" s="44"/>
      <c r="H132" s="45"/>
      <c r="I132" s="44"/>
      <c r="J132" s="44"/>
      <c r="K132" s="46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ht="15.75" customHeight="1">
      <c r="A133" s="43"/>
      <c r="B133" s="43"/>
      <c r="C133" s="43"/>
      <c r="D133" s="43"/>
      <c r="E133" s="43"/>
      <c r="F133" s="43"/>
      <c r="G133" s="44"/>
      <c r="H133" s="45"/>
      <c r="I133" s="44"/>
      <c r="J133" s="44"/>
      <c r="K133" s="46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ht="15.75" customHeight="1">
      <c r="A134" s="43"/>
      <c r="B134" s="43"/>
      <c r="C134" s="43"/>
      <c r="D134" s="43"/>
      <c r="E134" s="43"/>
      <c r="F134" s="43"/>
      <c r="G134" s="44"/>
      <c r="H134" s="45"/>
      <c r="I134" s="44"/>
      <c r="J134" s="44"/>
      <c r="K134" s="46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ht="15.75" customHeight="1">
      <c r="A135" s="43"/>
      <c r="B135" s="43"/>
      <c r="C135" s="43"/>
      <c r="D135" s="43"/>
      <c r="E135" s="43"/>
      <c r="F135" s="43"/>
      <c r="G135" s="44"/>
      <c r="H135" s="45"/>
      <c r="I135" s="44"/>
      <c r="J135" s="44"/>
      <c r="K135" s="46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ht="15.75" customHeight="1">
      <c r="A136" s="43"/>
      <c r="B136" s="43"/>
      <c r="C136" s="43"/>
      <c r="D136" s="43"/>
      <c r="E136" s="43"/>
      <c r="F136" s="43"/>
      <c r="G136" s="44"/>
      <c r="H136" s="45"/>
      <c r="I136" s="44"/>
      <c r="J136" s="44"/>
      <c r="K136" s="46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ht="15.75" customHeight="1">
      <c r="A137" s="43"/>
      <c r="B137" s="43"/>
      <c r="C137" s="43"/>
      <c r="D137" s="43"/>
      <c r="E137" s="43"/>
      <c r="F137" s="43"/>
      <c r="G137" s="44"/>
      <c r="H137" s="45"/>
      <c r="I137" s="44"/>
      <c r="J137" s="44"/>
      <c r="K137" s="46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15.75" customHeight="1">
      <c r="A138" s="43"/>
      <c r="B138" s="43"/>
      <c r="C138" s="43"/>
      <c r="D138" s="43"/>
      <c r="E138" s="43"/>
      <c r="F138" s="43"/>
      <c r="G138" s="44"/>
      <c r="H138" s="45"/>
      <c r="I138" s="44"/>
      <c r="J138" s="44"/>
      <c r="K138" s="46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15.75" customHeight="1">
      <c r="A139" s="43"/>
      <c r="B139" s="43"/>
      <c r="C139" s="43"/>
      <c r="D139" s="43"/>
      <c r="E139" s="43"/>
      <c r="F139" s="43"/>
      <c r="G139" s="44"/>
      <c r="H139" s="45"/>
      <c r="I139" s="44"/>
      <c r="J139" s="44"/>
      <c r="K139" s="46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15.75" customHeight="1">
      <c r="A140" s="43"/>
      <c r="B140" s="43"/>
      <c r="C140" s="43"/>
      <c r="D140" s="43"/>
      <c r="E140" s="43"/>
      <c r="F140" s="43"/>
      <c r="G140" s="44"/>
      <c r="H140" s="45"/>
      <c r="I140" s="44"/>
      <c r="J140" s="44"/>
      <c r="K140" s="46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15.75" customHeight="1">
      <c r="A141" s="43"/>
      <c r="B141" s="43"/>
      <c r="C141" s="43"/>
      <c r="D141" s="43"/>
      <c r="E141" s="43"/>
      <c r="F141" s="43"/>
      <c r="G141" s="44"/>
      <c r="H141" s="45"/>
      <c r="I141" s="44"/>
      <c r="J141" s="44"/>
      <c r="K141" s="46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15.75" customHeight="1">
      <c r="A142" s="43"/>
      <c r="B142" s="43"/>
      <c r="C142" s="43"/>
      <c r="D142" s="43"/>
      <c r="E142" s="43"/>
      <c r="F142" s="43"/>
      <c r="G142" s="44"/>
      <c r="H142" s="45"/>
      <c r="I142" s="44"/>
      <c r="J142" s="44"/>
      <c r="K142" s="46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15.75" customHeight="1">
      <c r="A143" s="43"/>
      <c r="B143" s="43"/>
      <c r="C143" s="43"/>
      <c r="D143" s="43"/>
      <c r="E143" s="43"/>
      <c r="F143" s="43"/>
      <c r="G143" s="44"/>
      <c r="H143" s="45"/>
      <c r="I143" s="44"/>
      <c r="J143" s="44"/>
      <c r="K143" s="46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ht="15.75" customHeight="1">
      <c r="A144" s="43"/>
      <c r="B144" s="43"/>
      <c r="C144" s="43"/>
      <c r="D144" s="43"/>
      <c r="E144" s="43"/>
      <c r="F144" s="43"/>
      <c r="G144" s="44"/>
      <c r="H144" s="45"/>
      <c r="I144" s="44"/>
      <c r="J144" s="44"/>
      <c r="K144" s="46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ht="15.75" customHeight="1">
      <c r="A145" s="43"/>
      <c r="B145" s="43"/>
      <c r="C145" s="43"/>
      <c r="D145" s="43"/>
      <c r="E145" s="43"/>
      <c r="F145" s="43"/>
      <c r="G145" s="44"/>
      <c r="H145" s="45"/>
      <c r="I145" s="44"/>
      <c r="J145" s="44"/>
      <c r="K145" s="46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ht="15.75" customHeight="1">
      <c r="A146" s="43"/>
      <c r="B146" s="43"/>
      <c r="C146" s="43"/>
      <c r="D146" s="43"/>
      <c r="E146" s="43"/>
      <c r="F146" s="43"/>
      <c r="G146" s="44"/>
      <c r="H146" s="45"/>
      <c r="I146" s="44"/>
      <c r="J146" s="44"/>
      <c r="K146" s="46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ht="15.75" customHeight="1">
      <c r="A147" s="43"/>
      <c r="B147" s="43"/>
      <c r="C147" s="43"/>
      <c r="D147" s="43"/>
      <c r="E147" s="43"/>
      <c r="F147" s="43"/>
      <c r="G147" s="44"/>
      <c r="H147" s="45"/>
      <c r="I147" s="44"/>
      <c r="J147" s="44"/>
      <c r="K147" s="46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ht="15.75" customHeight="1">
      <c r="A148" s="43"/>
      <c r="B148" s="43"/>
      <c r="C148" s="43"/>
      <c r="D148" s="43"/>
      <c r="E148" s="43"/>
      <c r="F148" s="43"/>
      <c r="G148" s="44"/>
      <c r="H148" s="45"/>
      <c r="I148" s="44"/>
      <c r="J148" s="44"/>
      <c r="K148" s="46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ht="15.75" customHeight="1">
      <c r="A149" s="43"/>
      <c r="B149" s="43"/>
      <c r="C149" s="43"/>
      <c r="D149" s="43"/>
      <c r="E149" s="43"/>
      <c r="F149" s="43"/>
      <c r="G149" s="44"/>
      <c r="H149" s="45"/>
      <c r="I149" s="44"/>
      <c r="J149" s="44"/>
      <c r="K149" s="46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ht="15.75" customHeight="1">
      <c r="A150" s="43"/>
      <c r="B150" s="43"/>
      <c r="C150" s="43"/>
      <c r="D150" s="43"/>
      <c r="E150" s="43"/>
      <c r="F150" s="43"/>
      <c r="G150" s="44"/>
      <c r="H150" s="45"/>
      <c r="I150" s="44"/>
      <c r="J150" s="44"/>
      <c r="K150" s="46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ht="15.75" customHeight="1">
      <c r="A151" s="43"/>
      <c r="B151" s="43"/>
      <c r="C151" s="43"/>
      <c r="D151" s="43"/>
      <c r="E151" s="43"/>
      <c r="F151" s="43"/>
      <c r="G151" s="44"/>
      <c r="H151" s="45"/>
      <c r="I151" s="44"/>
      <c r="J151" s="44"/>
      <c r="K151" s="46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ht="15.75" customHeight="1">
      <c r="A152" s="43"/>
      <c r="B152" s="43"/>
      <c r="C152" s="43"/>
      <c r="D152" s="43"/>
      <c r="E152" s="43"/>
      <c r="F152" s="43"/>
      <c r="G152" s="44"/>
      <c r="H152" s="45"/>
      <c r="I152" s="44"/>
      <c r="J152" s="44"/>
      <c r="K152" s="46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ht="15.75" customHeight="1">
      <c r="A153" s="43"/>
      <c r="B153" s="43"/>
      <c r="C153" s="43"/>
      <c r="D153" s="43"/>
      <c r="E153" s="43"/>
      <c r="F153" s="43"/>
      <c r="G153" s="44"/>
      <c r="H153" s="45"/>
      <c r="I153" s="44"/>
      <c r="J153" s="44"/>
      <c r="K153" s="46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ht="15.75" customHeight="1">
      <c r="A154" s="43"/>
      <c r="B154" s="43"/>
      <c r="C154" s="43"/>
      <c r="D154" s="43"/>
      <c r="E154" s="43"/>
      <c r="F154" s="43"/>
      <c r="G154" s="44"/>
      <c r="H154" s="45"/>
      <c r="I154" s="44"/>
      <c r="J154" s="44"/>
      <c r="K154" s="46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ht="15.75" customHeight="1">
      <c r="A155" s="43"/>
      <c r="B155" s="43"/>
      <c r="C155" s="43"/>
      <c r="D155" s="43"/>
      <c r="E155" s="43"/>
      <c r="F155" s="43"/>
      <c r="G155" s="44"/>
      <c r="H155" s="45"/>
      <c r="I155" s="44"/>
      <c r="J155" s="44"/>
      <c r="K155" s="46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ht="15.75" customHeight="1">
      <c r="A156" s="43"/>
      <c r="B156" s="43"/>
      <c r="C156" s="43"/>
      <c r="D156" s="43"/>
      <c r="E156" s="43"/>
      <c r="F156" s="43"/>
      <c r="G156" s="44"/>
      <c r="H156" s="45"/>
      <c r="I156" s="44"/>
      <c r="J156" s="44"/>
      <c r="K156" s="46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15.75" customHeight="1">
      <c r="A157" s="43"/>
      <c r="B157" s="43"/>
      <c r="C157" s="43"/>
      <c r="D157" s="43"/>
      <c r="E157" s="43"/>
      <c r="F157" s="43"/>
      <c r="G157" s="44"/>
      <c r="H157" s="45"/>
      <c r="I157" s="44"/>
      <c r="J157" s="44"/>
      <c r="K157" s="46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ht="15.75" customHeight="1">
      <c r="A158" s="43"/>
      <c r="B158" s="43"/>
      <c r="C158" s="43"/>
      <c r="D158" s="43"/>
      <c r="E158" s="43"/>
      <c r="F158" s="43"/>
      <c r="G158" s="44"/>
      <c r="H158" s="45"/>
      <c r="I158" s="44"/>
      <c r="J158" s="44"/>
      <c r="K158" s="46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ht="15.75" customHeight="1">
      <c r="A159" s="43"/>
      <c r="B159" s="43"/>
      <c r="C159" s="43"/>
      <c r="D159" s="43"/>
      <c r="E159" s="43"/>
      <c r="F159" s="43"/>
      <c r="G159" s="44"/>
      <c r="H159" s="45"/>
      <c r="I159" s="44"/>
      <c r="J159" s="44"/>
      <c r="K159" s="46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ht="15.75" customHeight="1">
      <c r="A160" s="43"/>
      <c r="B160" s="43"/>
      <c r="C160" s="43"/>
      <c r="D160" s="43"/>
      <c r="E160" s="43"/>
      <c r="F160" s="43"/>
      <c r="G160" s="44"/>
      <c r="H160" s="45"/>
      <c r="I160" s="44"/>
      <c r="J160" s="44"/>
      <c r="K160" s="46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ht="15.75" customHeight="1">
      <c r="A161" s="43"/>
      <c r="B161" s="43"/>
      <c r="C161" s="43"/>
      <c r="D161" s="43"/>
      <c r="E161" s="43"/>
      <c r="F161" s="43"/>
      <c r="G161" s="44"/>
      <c r="H161" s="45"/>
      <c r="I161" s="44"/>
      <c r="J161" s="44"/>
      <c r="K161" s="46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ht="15.75" customHeight="1">
      <c r="A162" s="43"/>
      <c r="B162" s="43"/>
      <c r="C162" s="43"/>
      <c r="D162" s="43"/>
      <c r="E162" s="43"/>
      <c r="F162" s="43"/>
      <c r="G162" s="44"/>
      <c r="H162" s="45"/>
      <c r="I162" s="44"/>
      <c r="J162" s="44"/>
      <c r="K162" s="46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ht="15.75" customHeight="1">
      <c r="A163" s="43"/>
      <c r="B163" s="43"/>
      <c r="C163" s="43"/>
      <c r="D163" s="43"/>
      <c r="E163" s="43"/>
      <c r="F163" s="43"/>
      <c r="G163" s="44"/>
      <c r="H163" s="45"/>
      <c r="I163" s="44"/>
      <c r="J163" s="44"/>
      <c r="K163" s="46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ht="15.75" customHeight="1">
      <c r="A164" s="43"/>
      <c r="B164" s="43"/>
      <c r="C164" s="43"/>
      <c r="D164" s="43"/>
      <c r="E164" s="43"/>
      <c r="F164" s="43"/>
      <c r="G164" s="44"/>
      <c r="H164" s="45"/>
      <c r="I164" s="44"/>
      <c r="J164" s="44"/>
      <c r="K164" s="46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ht="15.75" customHeight="1">
      <c r="A165" s="43"/>
      <c r="B165" s="43"/>
      <c r="C165" s="43"/>
      <c r="D165" s="43"/>
      <c r="E165" s="43"/>
      <c r="F165" s="43"/>
      <c r="G165" s="44"/>
      <c r="H165" s="45"/>
      <c r="I165" s="44"/>
      <c r="J165" s="44"/>
      <c r="K165" s="46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ht="15.75" customHeight="1">
      <c r="A166" s="43"/>
      <c r="B166" s="43"/>
      <c r="C166" s="43"/>
      <c r="D166" s="43"/>
      <c r="E166" s="43"/>
      <c r="F166" s="43"/>
      <c r="G166" s="44"/>
      <c r="H166" s="45"/>
      <c r="I166" s="44"/>
      <c r="J166" s="44"/>
      <c r="K166" s="46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ht="15.75" customHeight="1">
      <c r="A167" s="43"/>
      <c r="B167" s="43"/>
      <c r="C167" s="43"/>
      <c r="D167" s="43"/>
      <c r="E167" s="43"/>
      <c r="F167" s="43"/>
      <c r="G167" s="44"/>
      <c r="H167" s="45"/>
      <c r="I167" s="44"/>
      <c r="J167" s="44"/>
      <c r="K167" s="46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ht="15.75" customHeight="1">
      <c r="A168" s="43"/>
      <c r="B168" s="43"/>
      <c r="C168" s="43"/>
      <c r="D168" s="43"/>
      <c r="E168" s="43"/>
      <c r="F168" s="43"/>
      <c r="G168" s="44"/>
      <c r="H168" s="45"/>
      <c r="I168" s="44"/>
      <c r="J168" s="44"/>
      <c r="K168" s="46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ht="15.75" customHeight="1">
      <c r="A169" s="43"/>
      <c r="B169" s="43"/>
      <c r="C169" s="43"/>
      <c r="D169" s="43"/>
      <c r="E169" s="43"/>
      <c r="F169" s="43"/>
      <c r="G169" s="44"/>
      <c r="H169" s="45"/>
      <c r="I169" s="44"/>
      <c r="J169" s="44"/>
      <c r="K169" s="46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ht="15.75" customHeight="1">
      <c r="A170" s="43"/>
      <c r="B170" s="43"/>
      <c r="C170" s="43"/>
      <c r="D170" s="43"/>
      <c r="E170" s="43"/>
      <c r="F170" s="43"/>
      <c r="G170" s="44"/>
      <c r="H170" s="45"/>
      <c r="I170" s="44"/>
      <c r="J170" s="44"/>
      <c r="K170" s="46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ht="15.75" customHeight="1">
      <c r="A171" s="43"/>
      <c r="B171" s="43"/>
      <c r="C171" s="43"/>
      <c r="D171" s="43"/>
      <c r="E171" s="43"/>
      <c r="F171" s="43"/>
      <c r="G171" s="44"/>
      <c r="H171" s="45"/>
      <c r="I171" s="44"/>
      <c r="J171" s="44"/>
      <c r="K171" s="46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ht="15.75" customHeight="1">
      <c r="A172" s="43"/>
      <c r="B172" s="43"/>
      <c r="C172" s="43"/>
      <c r="D172" s="43"/>
      <c r="E172" s="43"/>
      <c r="F172" s="43"/>
      <c r="G172" s="44"/>
      <c r="H172" s="45"/>
      <c r="I172" s="44"/>
      <c r="J172" s="44"/>
      <c r="K172" s="46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ht="15.75" customHeight="1">
      <c r="A173" s="43"/>
      <c r="B173" s="43"/>
      <c r="C173" s="43"/>
      <c r="D173" s="43"/>
      <c r="E173" s="43"/>
      <c r="F173" s="43"/>
      <c r="G173" s="44"/>
      <c r="H173" s="45"/>
      <c r="I173" s="44"/>
      <c r="J173" s="44"/>
      <c r="K173" s="46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ht="15.75" customHeight="1">
      <c r="A174" s="43"/>
      <c r="B174" s="43"/>
      <c r="C174" s="43"/>
      <c r="D174" s="43"/>
      <c r="E174" s="43"/>
      <c r="F174" s="43"/>
      <c r="G174" s="44"/>
      <c r="H174" s="45"/>
      <c r="I174" s="44"/>
      <c r="J174" s="44"/>
      <c r="K174" s="46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ht="15.75" customHeight="1">
      <c r="A175" s="43"/>
      <c r="B175" s="43"/>
      <c r="C175" s="43"/>
      <c r="D175" s="43"/>
      <c r="E175" s="43"/>
      <c r="F175" s="43"/>
      <c r="G175" s="44"/>
      <c r="H175" s="45"/>
      <c r="I175" s="44"/>
      <c r="J175" s="44"/>
      <c r="K175" s="46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ht="15.75" customHeight="1">
      <c r="A176" s="43"/>
      <c r="B176" s="43"/>
      <c r="C176" s="43"/>
      <c r="D176" s="43"/>
      <c r="E176" s="43"/>
      <c r="F176" s="43"/>
      <c r="G176" s="44"/>
      <c r="H176" s="45"/>
      <c r="I176" s="44"/>
      <c r="J176" s="44"/>
      <c r="K176" s="46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ht="15.75" customHeight="1">
      <c r="A177" s="43"/>
      <c r="B177" s="43"/>
      <c r="C177" s="43"/>
      <c r="D177" s="43"/>
      <c r="E177" s="43"/>
      <c r="F177" s="43"/>
      <c r="G177" s="44"/>
      <c r="H177" s="45"/>
      <c r="I177" s="44"/>
      <c r="J177" s="44"/>
      <c r="K177" s="46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ht="15.75" customHeight="1">
      <c r="A178" s="43"/>
      <c r="B178" s="43"/>
      <c r="C178" s="43"/>
      <c r="D178" s="43"/>
      <c r="E178" s="43"/>
      <c r="F178" s="43"/>
      <c r="G178" s="44"/>
      <c r="H178" s="45"/>
      <c r="I178" s="44"/>
      <c r="J178" s="44"/>
      <c r="K178" s="46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ht="15.75" customHeight="1">
      <c r="A179" s="43"/>
      <c r="B179" s="43"/>
      <c r="C179" s="43"/>
      <c r="D179" s="43"/>
      <c r="E179" s="43"/>
      <c r="F179" s="43"/>
      <c r="G179" s="44"/>
      <c r="H179" s="45"/>
      <c r="I179" s="44"/>
      <c r="J179" s="44"/>
      <c r="K179" s="46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ht="15.75" customHeight="1">
      <c r="A180" s="43"/>
      <c r="B180" s="43"/>
      <c r="C180" s="43"/>
      <c r="D180" s="43"/>
      <c r="E180" s="43"/>
      <c r="F180" s="43"/>
      <c r="G180" s="44"/>
      <c r="H180" s="45"/>
      <c r="I180" s="44"/>
      <c r="J180" s="44"/>
      <c r="K180" s="46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ht="15.75" customHeight="1">
      <c r="A181" s="43"/>
      <c r="B181" s="43"/>
      <c r="C181" s="43"/>
      <c r="D181" s="43"/>
      <c r="E181" s="43"/>
      <c r="F181" s="43"/>
      <c r="G181" s="44"/>
      <c r="H181" s="45"/>
      <c r="I181" s="44"/>
      <c r="J181" s="44"/>
      <c r="K181" s="46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ht="15.75" customHeight="1">
      <c r="A182" s="43"/>
      <c r="B182" s="43"/>
      <c r="C182" s="43"/>
      <c r="D182" s="43"/>
      <c r="E182" s="43"/>
      <c r="F182" s="43"/>
      <c r="G182" s="44"/>
      <c r="H182" s="45"/>
      <c r="I182" s="44"/>
      <c r="J182" s="44"/>
      <c r="K182" s="46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ht="15.75" customHeight="1">
      <c r="A183" s="43"/>
      <c r="B183" s="43"/>
      <c r="C183" s="43"/>
      <c r="D183" s="43"/>
      <c r="E183" s="43"/>
      <c r="F183" s="43"/>
      <c r="G183" s="44"/>
      <c r="H183" s="45"/>
      <c r="I183" s="44"/>
      <c r="J183" s="44"/>
      <c r="K183" s="46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ht="15.75" customHeight="1">
      <c r="A184" s="43"/>
      <c r="B184" s="43"/>
      <c r="C184" s="43"/>
      <c r="D184" s="43"/>
      <c r="E184" s="43"/>
      <c r="F184" s="43"/>
      <c r="G184" s="44"/>
      <c r="H184" s="45"/>
      <c r="I184" s="44"/>
      <c r="J184" s="44"/>
      <c r="K184" s="46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ht="15.75" customHeight="1">
      <c r="A185" s="43"/>
      <c r="B185" s="43"/>
      <c r="C185" s="43"/>
      <c r="D185" s="43"/>
      <c r="E185" s="43"/>
      <c r="F185" s="43"/>
      <c r="G185" s="44"/>
      <c r="H185" s="45"/>
      <c r="I185" s="44"/>
      <c r="J185" s="44"/>
      <c r="K185" s="46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ht="15.75" customHeight="1">
      <c r="A186" s="43"/>
      <c r="B186" s="43"/>
      <c r="C186" s="43"/>
      <c r="D186" s="43"/>
      <c r="E186" s="43"/>
      <c r="F186" s="43"/>
      <c r="G186" s="44"/>
      <c r="H186" s="45"/>
      <c r="I186" s="44"/>
      <c r="J186" s="44"/>
      <c r="K186" s="46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15.75" customHeight="1">
      <c r="A187" s="43"/>
      <c r="B187" s="43"/>
      <c r="C187" s="43"/>
      <c r="D187" s="43"/>
      <c r="E187" s="43"/>
      <c r="F187" s="43"/>
      <c r="G187" s="44"/>
      <c r="H187" s="45"/>
      <c r="I187" s="44"/>
      <c r="J187" s="44"/>
      <c r="K187" s="46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ht="15.75" customHeight="1">
      <c r="A188" s="43"/>
      <c r="B188" s="43"/>
      <c r="C188" s="43"/>
      <c r="D188" s="43"/>
      <c r="E188" s="43"/>
      <c r="F188" s="43"/>
      <c r="G188" s="44"/>
      <c r="H188" s="45"/>
      <c r="I188" s="44"/>
      <c r="J188" s="44"/>
      <c r="K188" s="46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ht="15.75" customHeight="1">
      <c r="A189" s="43"/>
      <c r="B189" s="43"/>
      <c r="C189" s="43"/>
      <c r="D189" s="43"/>
      <c r="E189" s="43"/>
      <c r="F189" s="43"/>
      <c r="G189" s="44"/>
      <c r="H189" s="45"/>
      <c r="I189" s="44"/>
      <c r="J189" s="44"/>
      <c r="K189" s="46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ht="15.75" customHeight="1">
      <c r="A190" s="43"/>
      <c r="B190" s="43"/>
      <c r="C190" s="43"/>
      <c r="D190" s="43"/>
      <c r="E190" s="43"/>
      <c r="F190" s="43"/>
      <c r="G190" s="44"/>
      <c r="H190" s="45"/>
      <c r="I190" s="44"/>
      <c r="J190" s="44"/>
      <c r="K190" s="46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ht="15.75" customHeight="1">
      <c r="A191" s="43"/>
      <c r="B191" s="43"/>
      <c r="C191" s="43"/>
      <c r="D191" s="43"/>
      <c r="E191" s="43"/>
      <c r="F191" s="43"/>
      <c r="G191" s="44"/>
      <c r="H191" s="45"/>
      <c r="I191" s="44"/>
      <c r="J191" s="44"/>
      <c r="K191" s="46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ht="15.75" customHeight="1">
      <c r="A192" s="43"/>
      <c r="B192" s="43"/>
      <c r="C192" s="43"/>
      <c r="D192" s="43"/>
      <c r="E192" s="43"/>
      <c r="F192" s="43"/>
      <c r="G192" s="44"/>
      <c r="H192" s="45"/>
      <c r="I192" s="44"/>
      <c r="J192" s="44"/>
      <c r="K192" s="46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ht="15.75" customHeight="1">
      <c r="A193" s="43"/>
      <c r="B193" s="43"/>
      <c r="C193" s="43"/>
      <c r="D193" s="43"/>
      <c r="E193" s="43"/>
      <c r="F193" s="43"/>
      <c r="G193" s="44"/>
      <c r="H193" s="45"/>
      <c r="I193" s="44"/>
      <c r="J193" s="44"/>
      <c r="K193" s="46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ht="15.75" customHeight="1">
      <c r="A194" s="43"/>
      <c r="B194" s="43"/>
      <c r="C194" s="43"/>
      <c r="D194" s="43"/>
      <c r="E194" s="43"/>
      <c r="F194" s="43"/>
      <c r="G194" s="44"/>
      <c r="H194" s="45"/>
      <c r="I194" s="44"/>
      <c r="J194" s="44"/>
      <c r="K194" s="46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ht="15.75" customHeight="1">
      <c r="A195" s="43"/>
      <c r="B195" s="43"/>
      <c r="C195" s="43"/>
      <c r="D195" s="43"/>
      <c r="E195" s="43"/>
      <c r="F195" s="43"/>
      <c r="G195" s="44"/>
      <c r="H195" s="45"/>
      <c r="I195" s="44"/>
      <c r="J195" s="44"/>
      <c r="K195" s="46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ht="15.75" customHeight="1">
      <c r="A196" s="43"/>
      <c r="B196" s="43"/>
      <c r="C196" s="43"/>
      <c r="D196" s="43"/>
      <c r="E196" s="43"/>
      <c r="F196" s="43"/>
      <c r="G196" s="44"/>
      <c r="H196" s="45"/>
      <c r="I196" s="44"/>
      <c r="J196" s="44"/>
      <c r="K196" s="46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ht="15.75" customHeight="1">
      <c r="A197" s="43"/>
      <c r="B197" s="43"/>
      <c r="C197" s="43"/>
      <c r="D197" s="43"/>
      <c r="E197" s="43"/>
      <c r="F197" s="43"/>
      <c r="G197" s="44"/>
      <c r="H197" s="45"/>
      <c r="I197" s="44"/>
      <c r="J197" s="44"/>
      <c r="K197" s="46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15.75" customHeight="1">
      <c r="A198" s="43"/>
      <c r="B198" s="43"/>
      <c r="C198" s="43"/>
      <c r="D198" s="43"/>
      <c r="E198" s="43"/>
      <c r="F198" s="43"/>
      <c r="G198" s="44"/>
      <c r="H198" s="45"/>
      <c r="I198" s="44"/>
      <c r="J198" s="44"/>
      <c r="K198" s="46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ht="15.75" customHeight="1">
      <c r="A199" s="43"/>
      <c r="B199" s="43"/>
      <c r="C199" s="43"/>
      <c r="D199" s="43"/>
      <c r="E199" s="43"/>
      <c r="F199" s="43"/>
      <c r="G199" s="44"/>
      <c r="H199" s="45"/>
      <c r="I199" s="44"/>
      <c r="J199" s="44"/>
      <c r="K199" s="46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ht="15.75" customHeight="1">
      <c r="A200" s="43"/>
      <c r="B200" s="43"/>
      <c r="C200" s="43"/>
      <c r="D200" s="43"/>
      <c r="E200" s="43"/>
      <c r="F200" s="43"/>
      <c r="G200" s="44"/>
      <c r="H200" s="45"/>
      <c r="I200" s="44"/>
      <c r="J200" s="44"/>
      <c r="K200" s="46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ht="15.75" customHeight="1">
      <c r="A201" s="43"/>
      <c r="B201" s="43"/>
      <c r="C201" s="43"/>
      <c r="D201" s="43"/>
      <c r="E201" s="43"/>
      <c r="F201" s="43"/>
      <c r="G201" s="44"/>
      <c r="H201" s="45"/>
      <c r="I201" s="44"/>
      <c r="J201" s="44"/>
      <c r="K201" s="46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ht="15.75" customHeight="1">
      <c r="A202" s="43"/>
      <c r="B202" s="43"/>
      <c r="C202" s="43"/>
      <c r="D202" s="43"/>
      <c r="E202" s="43"/>
      <c r="F202" s="43"/>
      <c r="G202" s="44"/>
      <c r="H202" s="45"/>
      <c r="I202" s="44"/>
      <c r="J202" s="44"/>
      <c r="K202" s="46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ht="15.75" customHeight="1">
      <c r="A203" s="43"/>
      <c r="B203" s="43"/>
      <c r="C203" s="43"/>
      <c r="D203" s="43"/>
      <c r="E203" s="43"/>
      <c r="F203" s="43"/>
      <c r="G203" s="44"/>
      <c r="H203" s="45"/>
      <c r="I203" s="44"/>
      <c r="J203" s="44"/>
      <c r="K203" s="46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ht="15.75" customHeight="1">
      <c r="A204" s="43"/>
      <c r="B204" s="43"/>
      <c r="C204" s="43"/>
      <c r="D204" s="43"/>
      <c r="E204" s="43"/>
      <c r="F204" s="43"/>
      <c r="G204" s="44"/>
      <c r="H204" s="45"/>
      <c r="I204" s="44"/>
      <c r="J204" s="44"/>
      <c r="K204" s="46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ht="15.75" customHeight="1">
      <c r="A205" s="43"/>
      <c r="B205" s="43"/>
      <c r="C205" s="43"/>
      <c r="D205" s="43"/>
      <c r="E205" s="43"/>
      <c r="F205" s="43"/>
      <c r="G205" s="44"/>
      <c r="H205" s="45"/>
      <c r="I205" s="44"/>
      <c r="J205" s="44"/>
      <c r="K205" s="46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ht="15.75" customHeight="1">
      <c r="A206" s="43"/>
      <c r="B206" s="43"/>
      <c r="C206" s="43"/>
      <c r="D206" s="43"/>
      <c r="E206" s="43"/>
      <c r="F206" s="43"/>
      <c r="G206" s="44"/>
      <c r="H206" s="45"/>
      <c r="I206" s="44"/>
      <c r="J206" s="44"/>
      <c r="K206" s="46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ht="15.75" customHeight="1">
      <c r="A207" s="43"/>
      <c r="B207" s="43"/>
      <c r="C207" s="43"/>
      <c r="D207" s="43"/>
      <c r="E207" s="43"/>
      <c r="F207" s="43"/>
      <c r="G207" s="44"/>
      <c r="H207" s="45"/>
      <c r="I207" s="44"/>
      <c r="J207" s="44"/>
      <c r="K207" s="46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ht="15.75" customHeight="1">
      <c r="A208" s="43"/>
      <c r="B208" s="43"/>
      <c r="C208" s="43"/>
      <c r="D208" s="43"/>
      <c r="E208" s="43"/>
      <c r="F208" s="43"/>
      <c r="G208" s="44"/>
      <c r="H208" s="45"/>
      <c r="I208" s="44"/>
      <c r="J208" s="44"/>
      <c r="K208" s="46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ht="15.75" customHeight="1">
      <c r="A209" s="43"/>
      <c r="B209" s="43"/>
      <c r="C209" s="43"/>
      <c r="D209" s="43"/>
      <c r="E209" s="43"/>
      <c r="F209" s="43"/>
      <c r="G209" s="44"/>
      <c r="H209" s="45"/>
      <c r="I209" s="44"/>
      <c r="J209" s="44"/>
      <c r="K209" s="46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ht="15.75" customHeight="1">
      <c r="A210" s="43"/>
      <c r="B210" s="43"/>
      <c r="C210" s="43"/>
      <c r="D210" s="43"/>
      <c r="E210" s="43"/>
      <c r="F210" s="43"/>
      <c r="G210" s="44"/>
      <c r="H210" s="45"/>
      <c r="I210" s="44"/>
      <c r="J210" s="44"/>
      <c r="K210" s="46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ht="15.75" customHeight="1">
      <c r="A211" s="43"/>
      <c r="B211" s="43"/>
      <c r="C211" s="43"/>
      <c r="D211" s="43"/>
      <c r="E211" s="43"/>
      <c r="F211" s="43"/>
      <c r="G211" s="44"/>
      <c r="H211" s="45"/>
      <c r="I211" s="44"/>
      <c r="J211" s="44"/>
      <c r="K211" s="46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ht="15.75" customHeight="1">
      <c r="A212" s="43"/>
      <c r="B212" s="43"/>
      <c r="C212" s="43"/>
      <c r="D212" s="43"/>
      <c r="E212" s="43"/>
      <c r="F212" s="43"/>
      <c r="G212" s="44"/>
      <c r="H212" s="45"/>
      <c r="I212" s="44"/>
      <c r="J212" s="44"/>
      <c r="K212" s="46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ht="15.75" customHeight="1">
      <c r="A213" s="43"/>
      <c r="B213" s="43"/>
      <c r="C213" s="43"/>
      <c r="D213" s="43"/>
      <c r="E213" s="43"/>
      <c r="F213" s="43"/>
      <c r="G213" s="44"/>
      <c r="H213" s="45"/>
      <c r="I213" s="44"/>
      <c r="J213" s="44"/>
      <c r="K213" s="46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15.75" customHeight="1">
      <c r="A214" s="43"/>
      <c r="B214" s="43"/>
      <c r="C214" s="43"/>
      <c r="D214" s="43"/>
      <c r="E214" s="43"/>
      <c r="F214" s="43"/>
      <c r="G214" s="44"/>
      <c r="H214" s="45"/>
      <c r="I214" s="44"/>
      <c r="J214" s="44"/>
      <c r="K214" s="46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15.75" customHeight="1">
      <c r="A215" s="43"/>
      <c r="B215" s="43"/>
      <c r="C215" s="43"/>
      <c r="D215" s="43"/>
      <c r="E215" s="43"/>
      <c r="F215" s="43"/>
      <c r="G215" s="44"/>
      <c r="H215" s="45"/>
      <c r="I215" s="44"/>
      <c r="J215" s="44"/>
      <c r="K215" s="46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ht="15.75" customHeight="1">
      <c r="A216" s="43"/>
      <c r="B216" s="43"/>
      <c r="C216" s="43"/>
      <c r="D216" s="43"/>
      <c r="E216" s="43"/>
      <c r="F216" s="43"/>
      <c r="G216" s="44"/>
      <c r="H216" s="45"/>
      <c r="I216" s="44"/>
      <c r="J216" s="44"/>
      <c r="K216" s="46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ht="15.75" customHeight="1">
      <c r="A217" s="43"/>
      <c r="B217" s="43"/>
      <c r="C217" s="43"/>
      <c r="D217" s="43"/>
      <c r="E217" s="43"/>
      <c r="F217" s="43"/>
      <c r="G217" s="44"/>
      <c r="H217" s="45"/>
      <c r="I217" s="44"/>
      <c r="J217" s="44"/>
      <c r="K217" s="46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ht="15.75" customHeight="1">
      <c r="A218" s="43"/>
      <c r="B218" s="43"/>
      <c r="C218" s="43"/>
      <c r="D218" s="43"/>
      <c r="E218" s="43"/>
      <c r="F218" s="43"/>
      <c r="G218" s="44"/>
      <c r="H218" s="45"/>
      <c r="I218" s="44"/>
      <c r="J218" s="44"/>
      <c r="K218" s="46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15.75" customHeight="1">
      <c r="A219" s="43"/>
      <c r="B219" s="43"/>
      <c r="C219" s="43"/>
      <c r="D219" s="43"/>
      <c r="E219" s="43"/>
      <c r="F219" s="43"/>
      <c r="G219" s="44"/>
      <c r="H219" s="45"/>
      <c r="I219" s="44"/>
      <c r="J219" s="44"/>
      <c r="K219" s="46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ht="15.75" customHeight="1">
      <c r="A220" s="43"/>
      <c r="B220" s="43"/>
      <c r="C220" s="43"/>
      <c r="D220" s="43"/>
      <c r="E220" s="43"/>
      <c r="F220" s="43"/>
      <c r="G220" s="44"/>
      <c r="H220" s="45"/>
      <c r="I220" s="44"/>
      <c r="J220" s="44"/>
      <c r="K220" s="46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ht="15.75" customHeight="1">
      <c r="A221" s="43"/>
      <c r="B221" s="43"/>
      <c r="C221" s="43"/>
      <c r="D221" s="43"/>
      <c r="E221" s="43"/>
      <c r="F221" s="43"/>
      <c r="G221" s="44"/>
      <c r="H221" s="45"/>
      <c r="I221" s="44"/>
      <c r="J221" s="44"/>
      <c r="K221" s="46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ht="15.75" customHeight="1">
      <c r="A222" s="43"/>
      <c r="B222" s="43"/>
      <c r="C222" s="43"/>
      <c r="D222" s="43"/>
      <c r="E222" s="43"/>
      <c r="F222" s="43"/>
      <c r="G222" s="44"/>
      <c r="H222" s="45"/>
      <c r="I222" s="44"/>
      <c r="J222" s="44"/>
      <c r="K222" s="46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ht="15.75" customHeight="1">
      <c r="A223" s="43"/>
      <c r="B223" s="43"/>
      <c r="C223" s="43"/>
      <c r="D223" s="43"/>
      <c r="E223" s="43"/>
      <c r="F223" s="43"/>
      <c r="G223" s="44"/>
      <c r="H223" s="45"/>
      <c r="I223" s="44"/>
      <c r="J223" s="44"/>
      <c r="K223" s="46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ht="15.75" customHeight="1">
      <c r="A224" s="43"/>
      <c r="B224" s="43"/>
      <c r="C224" s="43"/>
      <c r="D224" s="43"/>
      <c r="E224" s="43"/>
      <c r="F224" s="43"/>
      <c r="G224" s="44"/>
      <c r="H224" s="45"/>
      <c r="I224" s="44"/>
      <c r="J224" s="44"/>
      <c r="K224" s="46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ht="15.75" customHeight="1">
      <c r="A225" s="43"/>
      <c r="B225" s="43"/>
      <c r="C225" s="43"/>
      <c r="D225" s="43"/>
      <c r="E225" s="43"/>
      <c r="F225" s="43"/>
      <c r="G225" s="44"/>
      <c r="H225" s="45"/>
      <c r="I225" s="44"/>
      <c r="J225" s="44"/>
      <c r="K225" s="46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ht="15.75" customHeight="1">
      <c r="A226" s="43"/>
      <c r="B226" s="43"/>
      <c r="C226" s="43"/>
      <c r="D226" s="43"/>
      <c r="E226" s="43"/>
      <c r="F226" s="43"/>
      <c r="G226" s="44"/>
      <c r="H226" s="45"/>
      <c r="I226" s="44"/>
      <c r="J226" s="44"/>
      <c r="K226" s="46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ht="15.75" customHeight="1">
      <c r="A227" s="43"/>
      <c r="B227" s="43"/>
      <c r="C227" s="43"/>
      <c r="D227" s="43"/>
      <c r="E227" s="43"/>
      <c r="F227" s="43"/>
      <c r="G227" s="44"/>
      <c r="H227" s="45"/>
      <c r="I227" s="44"/>
      <c r="J227" s="44"/>
      <c r="K227" s="46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ht="15.75" customHeight="1">
      <c r="A228" s="43"/>
      <c r="B228" s="43"/>
      <c r="C228" s="43"/>
      <c r="D228" s="43"/>
      <c r="E228" s="43"/>
      <c r="F228" s="43"/>
      <c r="G228" s="44"/>
      <c r="H228" s="45"/>
      <c r="I228" s="44"/>
      <c r="J228" s="44"/>
      <c r="K228" s="46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ht="15.75" customHeight="1">
      <c r="A229" s="43"/>
      <c r="B229" s="43"/>
      <c r="C229" s="43"/>
      <c r="D229" s="43"/>
      <c r="E229" s="43"/>
      <c r="F229" s="43"/>
      <c r="G229" s="44"/>
      <c r="H229" s="45"/>
      <c r="I229" s="44"/>
      <c r="J229" s="44"/>
      <c r="K229" s="46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ht="15.75" customHeight="1">
      <c r="A230" s="43"/>
      <c r="B230" s="43"/>
      <c r="C230" s="43"/>
      <c r="D230" s="43"/>
      <c r="E230" s="43"/>
      <c r="F230" s="43"/>
      <c r="G230" s="44"/>
      <c r="H230" s="45"/>
      <c r="I230" s="44"/>
      <c r="J230" s="44"/>
      <c r="K230" s="46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ht="15.75" customHeight="1">
      <c r="A231" s="43"/>
      <c r="B231" s="43"/>
      <c r="C231" s="43"/>
      <c r="D231" s="43"/>
      <c r="E231" s="43"/>
      <c r="F231" s="43"/>
      <c r="G231" s="44"/>
      <c r="H231" s="45"/>
      <c r="I231" s="44"/>
      <c r="J231" s="44"/>
      <c r="K231" s="46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ht="15.75" customHeight="1">
      <c r="A232" s="43"/>
      <c r="B232" s="43"/>
      <c r="C232" s="43"/>
      <c r="D232" s="43"/>
      <c r="E232" s="43"/>
      <c r="F232" s="43"/>
      <c r="G232" s="44"/>
      <c r="H232" s="45"/>
      <c r="I232" s="44"/>
      <c r="J232" s="44"/>
      <c r="K232" s="46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ht="15.75" customHeight="1">
      <c r="A233" s="43"/>
      <c r="B233" s="43"/>
      <c r="C233" s="43"/>
      <c r="D233" s="43"/>
      <c r="E233" s="43"/>
      <c r="F233" s="43"/>
      <c r="G233" s="44"/>
      <c r="H233" s="45"/>
      <c r="I233" s="44"/>
      <c r="J233" s="44"/>
      <c r="K233" s="46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ht="15.75" customHeight="1">
      <c r="A234" s="43"/>
      <c r="B234" s="43"/>
      <c r="C234" s="43"/>
      <c r="D234" s="43"/>
      <c r="E234" s="43"/>
      <c r="F234" s="43"/>
      <c r="G234" s="44"/>
      <c r="H234" s="45"/>
      <c r="I234" s="44"/>
      <c r="J234" s="44"/>
      <c r="K234" s="46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ht="15.75" customHeight="1">
      <c r="A235" s="43"/>
      <c r="B235" s="43"/>
      <c r="C235" s="43"/>
      <c r="D235" s="43"/>
      <c r="E235" s="43"/>
      <c r="F235" s="43"/>
      <c r="G235" s="44"/>
      <c r="H235" s="45"/>
      <c r="I235" s="44"/>
      <c r="J235" s="44"/>
      <c r="K235" s="46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ht="15.75" customHeight="1">
      <c r="A236" s="43"/>
      <c r="B236" s="43"/>
      <c r="C236" s="43"/>
      <c r="D236" s="43"/>
      <c r="E236" s="43"/>
      <c r="F236" s="43"/>
      <c r="G236" s="44"/>
      <c r="H236" s="45"/>
      <c r="I236" s="44"/>
      <c r="J236" s="44"/>
      <c r="K236" s="46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ht="15.75" customHeight="1">
      <c r="A237" s="43"/>
      <c r="B237" s="43"/>
      <c r="C237" s="43"/>
      <c r="D237" s="43"/>
      <c r="E237" s="43"/>
      <c r="F237" s="43"/>
      <c r="G237" s="44"/>
      <c r="H237" s="45"/>
      <c r="I237" s="44"/>
      <c r="J237" s="44"/>
      <c r="K237" s="46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ht="15.75" customHeight="1">
      <c r="A238" s="43"/>
      <c r="B238" s="43"/>
      <c r="C238" s="43"/>
      <c r="D238" s="43"/>
      <c r="E238" s="43"/>
      <c r="F238" s="43"/>
      <c r="G238" s="44"/>
      <c r="H238" s="45"/>
      <c r="I238" s="44"/>
      <c r="J238" s="44"/>
      <c r="K238" s="46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ht="15.75" customHeight="1">
      <c r="A239" s="43"/>
      <c r="B239" s="43"/>
      <c r="C239" s="43"/>
      <c r="D239" s="43"/>
      <c r="E239" s="43"/>
      <c r="F239" s="43"/>
      <c r="G239" s="44"/>
      <c r="H239" s="45"/>
      <c r="I239" s="44"/>
      <c r="J239" s="44"/>
      <c r="K239" s="46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ht="15.75" customHeight="1">
      <c r="A240" s="43"/>
      <c r="B240" s="43"/>
      <c r="C240" s="43"/>
      <c r="D240" s="43"/>
      <c r="E240" s="43"/>
      <c r="F240" s="43"/>
      <c r="G240" s="44"/>
      <c r="H240" s="45"/>
      <c r="I240" s="44"/>
      <c r="J240" s="44"/>
      <c r="K240" s="46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ht="15.75" customHeight="1">
      <c r="A241" s="43"/>
      <c r="B241" s="43"/>
      <c r="C241" s="43"/>
      <c r="D241" s="43"/>
      <c r="E241" s="43"/>
      <c r="F241" s="43"/>
      <c r="G241" s="44"/>
      <c r="H241" s="45"/>
      <c r="I241" s="44"/>
      <c r="J241" s="44"/>
      <c r="K241" s="46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ht="15.75" customHeight="1">
      <c r="A242" s="43"/>
      <c r="B242" s="43"/>
      <c r="C242" s="43"/>
      <c r="D242" s="43"/>
      <c r="E242" s="43"/>
      <c r="F242" s="43"/>
      <c r="G242" s="44"/>
      <c r="H242" s="45"/>
      <c r="I242" s="44"/>
      <c r="J242" s="44"/>
      <c r="K242" s="46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ht="15.75" customHeight="1">
      <c r="A243" s="43"/>
      <c r="B243" s="43"/>
      <c r="C243" s="43"/>
      <c r="D243" s="43"/>
      <c r="E243" s="43"/>
      <c r="F243" s="43"/>
      <c r="G243" s="44"/>
      <c r="H243" s="45"/>
      <c r="I243" s="44"/>
      <c r="J243" s="44"/>
      <c r="K243" s="46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ht="15.75" customHeight="1">
      <c r="A244" s="43"/>
      <c r="B244" s="43"/>
      <c r="C244" s="43"/>
      <c r="D244" s="43"/>
      <c r="E244" s="43"/>
      <c r="F244" s="43"/>
      <c r="G244" s="44"/>
      <c r="H244" s="45"/>
      <c r="I244" s="44"/>
      <c r="J244" s="44"/>
      <c r="K244" s="46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ht="15.75" customHeight="1">
      <c r="A245" s="43"/>
      <c r="B245" s="43"/>
      <c r="C245" s="43"/>
      <c r="D245" s="43"/>
      <c r="E245" s="43"/>
      <c r="F245" s="43"/>
      <c r="G245" s="44"/>
      <c r="H245" s="45"/>
      <c r="I245" s="44"/>
      <c r="J245" s="44"/>
      <c r="K245" s="46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ht="15.75" customHeight="1">
      <c r="A246" s="43"/>
      <c r="B246" s="43"/>
      <c r="C246" s="43"/>
      <c r="D246" s="43"/>
      <c r="E246" s="43"/>
      <c r="F246" s="43"/>
      <c r="G246" s="44"/>
      <c r="H246" s="45"/>
      <c r="I246" s="44"/>
      <c r="J246" s="44"/>
      <c r="K246" s="46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ht="15.75" customHeight="1">
      <c r="A247" s="43"/>
      <c r="B247" s="43"/>
      <c r="C247" s="43"/>
      <c r="D247" s="43"/>
      <c r="E247" s="43"/>
      <c r="F247" s="43"/>
      <c r="G247" s="44"/>
      <c r="H247" s="45"/>
      <c r="I247" s="44"/>
      <c r="J247" s="44"/>
      <c r="K247" s="46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ht="15.75" customHeight="1">
      <c r="A248" s="43"/>
      <c r="B248" s="43"/>
      <c r="C248" s="43"/>
      <c r="D248" s="43"/>
      <c r="E248" s="43"/>
      <c r="F248" s="43"/>
      <c r="G248" s="44"/>
      <c r="H248" s="45"/>
      <c r="I248" s="44"/>
      <c r="J248" s="44"/>
      <c r="K248" s="46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ht="15.75" customHeight="1">
      <c r="A249" s="43"/>
      <c r="B249" s="43"/>
      <c r="C249" s="43"/>
      <c r="D249" s="43"/>
      <c r="E249" s="43"/>
      <c r="F249" s="43"/>
      <c r="G249" s="44"/>
      <c r="H249" s="45"/>
      <c r="I249" s="44"/>
      <c r="J249" s="44"/>
      <c r="K249" s="46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ht="15.75" customHeight="1">
      <c r="A250" s="43"/>
      <c r="B250" s="43"/>
      <c r="C250" s="43"/>
      <c r="D250" s="43"/>
      <c r="E250" s="43"/>
      <c r="F250" s="43"/>
      <c r="G250" s="44"/>
      <c r="H250" s="45"/>
      <c r="I250" s="44"/>
      <c r="J250" s="44"/>
      <c r="K250" s="46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ht="15.75" customHeight="1">
      <c r="A251" s="43"/>
      <c r="B251" s="43"/>
      <c r="C251" s="43"/>
      <c r="D251" s="43"/>
      <c r="E251" s="43"/>
      <c r="F251" s="43"/>
      <c r="G251" s="44"/>
      <c r="H251" s="45"/>
      <c r="I251" s="44"/>
      <c r="J251" s="44"/>
      <c r="K251" s="46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ht="15.75" customHeight="1">
      <c r="A252" s="43"/>
      <c r="B252" s="43"/>
      <c r="C252" s="43"/>
      <c r="D252" s="43"/>
      <c r="E252" s="43"/>
      <c r="F252" s="43"/>
      <c r="G252" s="44"/>
      <c r="H252" s="45"/>
      <c r="I252" s="44"/>
      <c r="J252" s="44"/>
      <c r="K252" s="46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ht="15.75" customHeight="1">
      <c r="A253" s="43"/>
      <c r="B253" s="43"/>
      <c r="C253" s="43"/>
      <c r="D253" s="43"/>
      <c r="E253" s="43"/>
      <c r="F253" s="43"/>
      <c r="G253" s="44"/>
      <c r="H253" s="45"/>
      <c r="I253" s="44"/>
      <c r="J253" s="44"/>
      <c r="K253" s="46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ht="15.75" customHeight="1">
      <c r="A254" s="43"/>
      <c r="B254" s="43"/>
      <c r="C254" s="43"/>
      <c r="D254" s="43"/>
      <c r="E254" s="43"/>
      <c r="F254" s="43"/>
      <c r="G254" s="44"/>
      <c r="H254" s="45"/>
      <c r="I254" s="44"/>
      <c r="J254" s="44"/>
      <c r="K254" s="46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ht="15.75" customHeight="1">
      <c r="A255" s="43"/>
      <c r="B255" s="43"/>
      <c r="C255" s="43"/>
      <c r="D255" s="43"/>
      <c r="E255" s="43"/>
      <c r="F255" s="43"/>
      <c r="G255" s="44"/>
      <c r="H255" s="45"/>
      <c r="I255" s="44"/>
      <c r="J255" s="44"/>
      <c r="K255" s="46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ht="15.75" customHeight="1">
      <c r="A256" s="43"/>
      <c r="B256" s="43"/>
      <c r="C256" s="43"/>
      <c r="D256" s="43"/>
      <c r="E256" s="43"/>
      <c r="F256" s="43"/>
      <c r="G256" s="44"/>
      <c r="H256" s="45"/>
      <c r="I256" s="44"/>
      <c r="J256" s="44"/>
      <c r="K256" s="46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ht="15.75" customHeight="1">
      <c r="A257" s="43"/>
      <c r="B257" s="43"/>
      <c r="C257" s="43"/>
      <c r="D257" s="43"/>
      <c r="E257" s="43"/>
      <c r="F257" s="43"/>
      <c r="G257" s="44"/>
      <c r="H257" s="45"/>
      <c r="I257" s="44"/>
      <c r="J257" s="44"/>
      <c r="K257" s="46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ht="15.75" customHeight="1">
      <c r="A258" s="43"/>
      <c r="B258" s="43"/>
      <c r="C258" s="43"/>
      <c r="D258" s="43"/>
      <c r="E258" s="43"/>
      <c r="F258" s="43"/>
      <c r="G258" s="44"/>
      <c r="H258" s="45"/>
      <c r="I258" s="44"/>
      <c r="J258" s="44"/>
      <c r="K258" s="46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ht="15.75" customHeight="1">
      <c r="A259" s="43"/>
      <c r="B259" s="43"/>
      <c r="C259" s="43"/>
      <c r="D259" s="43"/>
      <c r="E259" s="43"/>
      <c r="F259" s="43"/>
      <c r="G259" s="44"/>
      <c r="H259" s="45"/>
      <c r="I259" s="44"/>
      <c r="J259" s="44"/>
      <c r="K259" s="46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ht="15.75" customHeight="1">
      <c r="A260" s="43"/>
      <c r="B260" s="43"/>
      <c r="C260" s="43"/>
      <c r="D260" s="43"/>
      <c r="E260" s="43"/>
      <c r="F260" s="43"/>
      <c r="G260" s="44"/>
      <c r="H260" s="45"/>
      <c r="I260" s="44"/>
      <c r="J260" s="44"/>
      <c r="K260" s="46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ht="15.75" customHeight="1">
      <c r="A261" s="43"/>
      <c r="B261" s="43"/>
      <c r="C261" s="43"/>
      <c r="D261" s="43"/>
      <c r="E261" s="43"/>
      <c r="F261" s="43"/>
      <c r="G261" s="44"/>
      <c r="H261" s="45"/>
      <c r="I261" s="44"/>
      <c r="J261" s="44"/>
      <c r="K261" s="46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ht="15.75" customHeight="1">
      <c r="A262" s="43"/>
      <c r="B262" s="43"/>
      <c r="C262" s="43"/>
      <c r="D262" s="43"/>
      <c r="E262" s="43"/>
      <c r="F262" s="43"/>
      <c r="G262" s="44"/>
      <c r="H262" s="45"/>
      <c r="I262" s="44"/>
      <c r="J262" s="44"/>
      <c r="K262" s="46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ht="15.75" customHeight="1">
      <c r="A263" s="43"/>
      <c r="B263" s="43"/>
      <c r="C263" s="43"/>
      <c r="D263" s="43"/>
      <c r="E263" s="43"/>
      <c r="F263" s="43"/>
      <c r="G263" s="44"/>
      <c r="H263" s="45"/>
      <c r="I263" s="44"/>
      <c r="J263" s="44"/>
      <c r="K263" s="46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ht="15.75" customHeight="1">
      <c r="A264" s="43"/>
      <c r="B264" s="43"/>
      <c r="C264" s="43"/>
      <c r="D264" s="43"/>
      <c r="E264" s="43"/>
      <c r="F264" s="43"/>
      <c r="G264" s="44"/>
      <c r="H264" s="45"/>
      <c r="I264" s="44"/>
      <c r="J264" s="44"/>
      <c r="K264" s="46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ht="15.75" customHeight="1">
      <c r="A265" s="43"/>
      <c r="B265" s="43"/>
      <c r="C265" s="43"/>
      <c r="D265" s="43"/>
      <c r="E265" s="43"/>
      <c r="F265" s="43"/>
      <c r="G265" s="44"/>
      <c r="H265" s="45"/>
      <c r="I265" s="44"/>
      <c r="J265" s="44"/>
      <c r="K265" s="46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ht="15.75" customHeight="1">
      <c r="A266" s="43"/>
      <c r="B266" s="43"/>
      <c r="C266" s="43"/>
      <c r="D266" s="43"/>
      <c r="E266" s="43"/>
      <c r="F266" s="43"/>
      <c r="G266" s="44"/>
      <c r="H266" s="45"/>
      <c r="I266" s="44"/>
      <c r="J266" s="44"/>
      <c r="K266" s="46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ht="15.75" customHeight="1">
      <c r="A267" s="43"/>
      <c r="B267" s="43"/>
      <c r="C267" s="43"/>
      <c r="D267" s="43"/>
      <c r="E267" s="43"/>
      <c r="F267" s="43"/>
      <c r="G267" s="44"/>
      <c r="H267" s="45"/>
      <c r="I267" s="44"/>
      <c r="J267" s="44"/>
      <c r="K267" s="46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ht="15.75" customHeight="1">
      <c r="A268" s="43"/>
      <c r="B268" s="43"/>
      <c r="C268" s="43"/>
      <c r="D268" s="43"/>
      <c r="E268" s="43"/>
      <c r="F268" s="43"/>
      <c r="G268" s="44"/>
      <c r="H268" s="45"/>
      <c r="I268" s="44"/>
      <c r="J268" s="44"/>
      <c r="K268" s="46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ht="15.75" customHeight="1">
      <c r="A269" s="43"/>
      <c r="B269" s="43"/>
      <c r="C269" s="43"/>
      <c r="D269" s="43"/>
      <c r="E269" s="43"/>
      <c r="F269" s="43"/>
      <c r="G269" s="44"/>
      <c r="H269" s="45"/>
      <c r="I269" s="44"/>
      <c r="J269" s="44"/>
      <c r="K269" s="46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ht="15.75" customHeight="1">
      <c r="A270" s="43"/>
      <c r="B270" s="43"/>
      <c r="C270" s="43"/>
      <c r="D270" s="43"/>
      <c r="E270" s="43"/>
      <c r="F270" s="43"/>
      <c r="G270" s="44"/>
      <c r="H270" s="45"/>
      <c r="I270" s="44"/>
      <c r="J270" s="44"/>
      <c r="K270" s="46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ht="15.75" customHeight="1">
      <c r="A271" s="43"/>
      <c r="B271" s="43"/>
      <c r="C271" s="43"/>
      <c r="D271" s="43"/>
      <c r="E271" s="43"/>
      <c r="F271" s="43"/>
      <c r="G271" s="44"/>
      <c r="H271" s="45"/>
      <c r="I271" s="44"/>
      <c r="J271" s="44"/>
      <c r="K271" s="46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ht="15.75" customHeight="1">
      <c r="A272" s="43"/>
      <c r="B272" s="43"/>
      <c r="C272" s="43"/>
      <c r="D272" s="43"/>
      <c r="E272" s="43"/>
      <c r="F272" s="43"/>
      <c r="G272" s="44"/>
      <c r="H272" s="45"/>
      <c r="I272" s="44"/>
      <c r="J272" s="44"/>
      <c r="K272" s="46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ht="15.75" customHeight="1">
      <c r="A273" s="43"/>
      <c r="B273" s="43"/>
      <c r="C273" s="43"/>
      <c r="D273" s="43"/>
      <c r="E273" s="43"/>
      <c r="F273" s="43"/>
      <c r="G273" s="44"/>
      <c r="H273" s="45"/>
      <c r="I273" s="44"/>
      <c r="J273" s="44"/>
      <c r="K273" s="46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ht="15.75" customHeight="1">
      <c r="A274" s="43"/>
      <c r="B274" s="43"/>
      <c r="C274" s="43"/>
      <c r="D274" s="43"/>
      <c r="E274" s="43"/>
      <c r="F274" s="43"/>
      <c r="G274" s="44"/>
      <c r="H274" s="45"/>
      <c r="I274" s="44"/>
      <c r="J274" s="44"/>
      <c r="K274" s="46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ht="15.75" customHeight="1">
      <c r="A275" s="43"/>
      <c r="B275" s="43"/>
      <c r="C275" s="43"/>
      <c r="D275" s="43"/>
      <c r="E275" s="43"/>
      <c r="F275" s="43"/>
      <c r="G275" s="44"/>
      <c r="H275" s="45"/>
      <c r="I275" s="44"/>
      <c r="J275" s="44"/>
      <c r="K275" s="46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ht="15.75" customHeight="1">
      <c r="A276" s="43"/>
      <c r="B276" s="43"/>
      <c r="C276" s="43"/>
      <c r="D276" s="43"/>
      <c r="E276" s="43"/>
      <c r="F276" s="43"/>
      <c r="G276" s="44"/>
      <c r="H276" s="45"/>
      <c r="I276" s="44"/>
      <c r="J276" s="44"/>
      <c r="K276" s="46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ht="15.75" customHeight="1">
      <c r="A277" s="43"/>
      <c r="B277" s="43"/>
      <c r="C277" s="43"/>
      <c r="D277" s="43"/>
      <c r="E277" s="43"/>
      <c r="F277" s="43"/>
      <c r="G277" s="44"/>
      <c r="H277" s="45"/>
      <c r="I277" s="44"/>
      <c r="J277" s="44"/>
      <c r="K277" s="46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ht="15.75" customHeight="1">
      <c r="A278" s="43"/>
      <c r="B278" s="43"/>
      <c r="C278" s="43"/>
      <c r="D278" s="43"/>
      <c r="E278" s="43"/>
      <c r="F278" s="43"/>
      <c r="G278" s="44"/>
      <c r="H278" s="45"/>
      <c r="I278" s="44"/>
      <c r="J278" s="44"/>
      <c r="K278" s="46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ht="15.75" customHeight="1">
      <c r="A279" s="43"/>
      <c r="B279" s="43"/>
      <c r="C279" s="43"/>
      <c r="D279" s="43"/>
      <c r="E279" s="43"/>
      <c r="F279" s="43"/>
      <c r="G279" s="44"/>
      <c r="H279" s="45"/>
      <c r="I279" s="44"/>
      <c r="J279" s="44"/>
      <c r="K279" s="46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ht="15.75" customHeight="1">
      <c r="A280" s="43"/>
      <c r="B280" s="43"/>
      <c r="C280" s="43"/>
      <c r="D280" s="43"/>
      <c r="E280" s="43"/>
      <c r="F280" s="43"/>
      <c r="G280" s="44"/>
      <c r="H280" s="45"/>
      <c r="I280" s="44"/>
      <c r="J280" s="44"/>
      <c r="K280" s="46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ht="15.75" customHeight="1">
      <c r="A281" s="43"/>
      <c r="B281" s="43"/>
      <c r="C281" s="43"/>
      <c r="D281" s="43"/>
      <c r="E281" s="43"/>
      <c r="F281" s="43"/>
      <c r="G281" s="44"/>
      <c r="H281" s="45"/>
      <c r="I281" s="44"/>
      <c r="J281" s="44"/>
      <c r="K281" s="46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ht="15.75" customHeight="1">
      <c r="A282" s="43"/>
      <c r="B282" s="43"/>
      <c r="C282" s="43"/>
      <c r="D282" s="43"/>
      <c r="E282" s="43"/>
      <c r="F282" s="43"/>
      <c r="G282" s="44"/>
      <c r="H282" s="45"/>
      <c r="I282" s="44"/>
      <c r="J282" s="44"/>
      <c r="K282" s="46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ht="15.75" customHeight="1">
      <c r="A283" s="43"/>
      <c r="B283" s="43"/>
      <c r="C283" s="43"/>
      <c r="D283" s="43"/>
      <c r="E283" s="43"/>
      <c r="F283" s="43"/>
      <c r="G283" s="44"/>
      <c r="H283" s="45"/>
      <c r="I283" s="44"/>
      <c r="J283" s="44"/>
      <c r="K283" s="46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ht="15.75" customHeight="1">
      <c r="A284" s="43"/>
      <c r="B284" s="43"/>
      <c r="C284" s="43"/>
      <c r="D284" s="43"/>
      <c r="E284" s="43"/>
      <c r="F284" s="43"/>
      <c r="G284" s="44"/>
      <c r="H284" s="45"/>
      <c r="I284" s="44"/>
      <c r="J284" s="44"/>
      <c r="K284" s="46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ht="15.75" customHeight="1">
      <c r="A285" s="43"/>
      <c r="B285" s="43"/>
      <c r="C285" s="43"/>
      <c r="D285" s="43"/>
      <c r="E285" s="43"/>
      <c r="F285" s="43"/>
      <c r="G285" s="44"/>
      <c r="H285" s="45"/>
      <c r="I285" s="44"/>
      <c r="J285" s="44"/>
      <c r="K285" s="46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ht="15.75" customHeight="1">
      <c r="A286" s="43"/>
      <c r="B286" s="43"/>
      <c r="C286" s="43"/>
      <c r="D286" s="43"/>
      <c r="E286" s="43"/>
      <c r="F286" s="43"/>
      <c r="G286" s="44"/>
      <c r="H286" s="45"/>
      <c r="I286" s="44"/>
      <c r="J286" s="44"/>
      <c r="K286" s="46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ht="15.75" customHeight="1">
      <c r="A287" s="43"/>
      <c r="B287" s="43"/>
      <c r="C287" s="43"/>
      <c r="D287" s="43"/>
      <c r="E287" s="43"/>
      <c r="F287" s="43"/>
      <c r="G287" s="44"/>
      <c r="H287" s="45"/>
      <c r="I287" s="44"/>
      <c r="J287" s="44"/>
      <c r="K287" s="46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ht="15.75" customHeight="1">
      <c r="A288" s="43"/>
      <c r="B288" s="43"/>
      <c r="C288" s="43"/>
      <c r="D288" s="43"/>
      <c r="E288" s="43"/>
      <c r="F288" s="43"/>
      <c r="G288" s="44"/>
      <c r="H288" s="45"/>
      <c r="I288" s="44"/>
      <c r="J288" s="44"/>
      <c r="K288" s="46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ht="15.75" customHeight="1">
      <c r="A289" s="43"/>
      <c r="B289" s="43"/>
      <c r="C289" s="43"/>
      <c r="D289" s="43"/>
      <c r="E289" s="43"/>
      <c r="F289" s="43"/>
      <c r="G289" s="44"/>
      <c r="H289" s="45"/>
      <c r="I289" s="44"/>
      <c r="J289" s="44"/>
      <c r="K289" s="46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ht="15.75" customHeight="1">
      <c r="A290" s="43"/>
      <c r="B290" s="43"/>
      <c r="C290" s="43"/>
      <c r="D290" s="43"/>
      <c r="E290" s="43"/>
      <c r="F290" s="43"/>
      <c r="G290" s="44"/>
      <c r="H290" s="45"/>
      <c r="I290" s="44"/>
      <c r="J290" s="44"/>
      <c r="K290" s="46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ht="15.75" customHeight="1">
      <c r="A291" s="43"/>
      <c r="B291" s="43"/>
      <c r="C291" s="43"/>
      <c r="D291" s="43"/>
      <c r="E291" s="43"/>
      <c r="F291" s="43"/>
      <c r="G291" s="44"/>
      <c r="H291" s="45"/>
      <c r="I291" s="44"/>
      <c r="J291" s="44"/>
      <c r="K291" s="46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ht="15.75" customHeight="1">
      <c r="A292" s="43"/>
      <c r="B292" s="43"/>
      <c r="C292" s="43"/>
      <c r="D292" s="43"/>
      <c r="E292" s="43"/>
      <c r="F292" s="43"/>
      <c r="G292" s="44"/>
      <c r="H292" s="45"/>
      <c r="I292" s="44"/>
      <c r="J292" s="44"/>
      <c r="K292" s="46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ht="15.75" customHeight="1">
      <c r="A293" s="43"/>
      <c r="B293" s="43"/>
      <c r="C293" s="43"/>
      <c r="D293" s="43"/>
      <c r="E293" s="43"/>
      <c r="F293" s="43"/>
      <c r="G293" s="44"/>
      <c r="H293" s="45"/>
      <c r="I293" s="44"/>
      <c r="J293" s="44"/>
      <c r="K293" s="46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ht="15.75" customHeight="1">
      <c r="A294" s="43"/>
      <c r="B294" s="43"/>
      <c r="C294" s="43"/>
      <c r="D294" s="43"/>
      <c r="E294" s="43"/>
      <c r="F294" s="43"/>
      <c r="G294" s="44"/>
      <c r="H294" s="45"/>
      <c r="I294" s="44"/>
      <c r="J294" s="44"/>
      <c r="K294" s="46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ht="15.75" customHeight="1">
      <c r="A295" s="43"/>
      <c r="B295" s="43"/>
      <c r="C295" s="43"/>
      <c r="D295" s="43"/>
      <c r="E295" s="43"/>
      <c r="F295" s="43"/>
      <c r="G295" s="44"/>
      <c r="H295" s="45"/>
      <c r="I295" s="44"/>
      <c r="J295" s="44"/>
      <c r="K295" s="46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38 G78:G80">
    <cfRule type="containsBlanks" dxfId="0" priority="1">
      <formula>LEN(TRIM(G38))=0</formula>
    </cfRule>
  </conditionalFormatting>
  <dataValidations>
    <dataValidation type="list" allowBlank="1" showErrorMessage="1" sqref="C1">
      <formula1>Actuals!$M$1:$M$3</formula1>
    </dataValidation>
    <dataValidation type="list" allowBlank="1" showErrorMessage="1" sqref="C2">
      <formula1>Actuals!$M$5:$M$6</formula1>
    </dataValidation>
  </dataValidation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2F3"/>
    <pageSetUpPr/>
  </sheetPr>
  <sheetViews>
    <sheetView workbookViewId="0"/>
  </sheetViews>
  <sheetFormatPr customHeight="1" defaultColWidth="14.43" defaultRowHeight="15.0"/>
  <cols>
    <col customWidth="1" min="1" max="1" width="32.0"/>
    <col customWidth="1" min="2" max="2" width="29.43"/>
    <col customWidth="1" min="3" max="3" width="16.43"/>
    <col customWidth="1" min="4" max="4" width="16.14"/>
    <col customWidth="1" min="5" max="5" width="17.29"/>
    <col customWidth="1" min="6" max="6" width="18.43"/>
    <col customWidth="1" min="7" max="7" width="17.86"/>
    <col customWidth="1" min="8" max="8" width="12.29"/>
    <col customWidth="1" min="9" max="9" width="12.43"/>
    <col customWidth="1" min="10" max="10" width="10.14"/>
    <col customWidth="1" min="11" max="11" width="11.29"/>
    <col customWidth="1" min="12" max="26" width="8.86"/>
  </cols>
  <sheetData>
    <row r="1" ht="61.5" customHeight="1">
      <c r="A1" s="94" t="s">
        <v>146</v>
      </c>
      <c r="B1" s="95"/>
      <c r="C1" s="95"/>
      <c r="D1" s="95"/>
      <c r="E1" s="95"/>
      <c r="F1" s="95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14.25" customHeight="1">
      <c r="A2" s="96" t="s">
        <v>147</v>
      </c>
      <c r="B2" s="97">
        <f>SUM(B8:B10)</f>
        <v>1000000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4.25" customHeight="1">
      <c r="A3" s="96" t="s">
        <v>148</v>
      </c>
      <c r="B3" s="98">
        <f>+'Tax Strategies'!E59</f>
        <v>0.2118992312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ht="14.2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14.2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4.2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37.5" customHeight="1">
      <c r="A7" s="99" t="s">
        <v>149</v>
      </c>
      <c r="B7" s="99" t="s">
        <v>150</v>
      </c>
      <c r="C7" s="99" t="s">
        <v>151</v>
      </c>
      <c r="D7" s="99" t="s">
        <v>152</v>
      </c>
      <c r="E7" s="99" t="s">
        <v>153</v>
      </c>
      <c r="F7" s="99" t="s">
        <v>154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4.25" customHeight="1">
      <c r="A8" s="100" t="s">
        <v>29</v>
      </c>
      <c r="B8" s="101">
        <v>500000.0</v>
      </c>
      <c r="C8" s="102">
        <v>0.09</v>
      </c>
      <c r="D8" s="102">
        <v>0.2</v>
      </c>
      <c r="E8" s="102">
        <v>1.6</v>
      </c>
      <c r="F8" s="100">
        <v>5.0</v>
      </c>
      <c r="G8" s="34"/>
      <c r="H8" s="34"/>
      <c r="I8" s="34" t="s">
        <v>155</v>
      </c>
      <c r="J8" s="34" t="s">
        <v>156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4.25" customHeight="1">
      <c r="A9" s="100" t="s">
        <v>157</v>
      </c>
      <c r="B9" s="101">
        <v>500000.0</v>
      </c>
      <c r="C9" s="102">
        <v>0.15</v>
      </c>
      <c r="D9" s="102">
        <v>0.0</v>
      </c>
      <c r="E9" s="102">
        <v>0.0</v>
      </c>
      <c r="F9" s="100">
        <v>1.0</v>
      </c>
      <c r="G9" s="34"/>
      <c r="H9" s="34"/>
      <c r="I9" s="34" t="s">
        <v>152</v>
      </c>
      <c r="J9" s="34" t="s">
        <v>137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4.25" customHeight="1">
      <c r="A10" s="100" t="s">
        <v>158</v>
      </c>
      <c r="B10" s="101"/>
      <c r="C10" s="102"/>
      <c r="D10" s="102"/>
      <c r="E10" s="102"/>
      <c r="F10" s="100"/>
      <c r="G10" s="34"/>
      <c r="H10" s="34"/>
      <c r="I10" s="34" t="s">
        <v>159</v>
      </c>
      <c r="J10" s="34" t="s">
        <v>160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4.25" customHeight="1">
      <c r="A11" s="100" t="s">
        <v>161</v>
      </c>
      <c r="B11" s="100"/>
      <c r="C11" s="100"/>
      <c r="D11" s="100"/>
      <c r="E11" s="100"/>
      <c r="F11" s="100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4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4.25" customHeight="1">
      <c r="A13" s="34" t="s">
        <v>151</v>
      </c>
      <c r="B13" s="36">
        <f>+B8*C8+B9*C9+B10*C10+B11*C11</f>
        <v>120000</v>
      </c>
      <c r="C13" s="3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4.25" customHeight="1">
      <c r="A14" s="34" t="s">
        <v>145</v>
      </c>
      <c r="B14" s="36">
        <v>0.0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4.25" customHeight="1">
      <c r="A15" s="99" t="s">
        <v>136</v>
      </c>
      <c r="B15" s="103">
        <f>SUM(B13:B14)</f>
        <v>120000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4.25" customHeight="1">
      <c r="A16" s="34"/>
      <c r="B16" s="3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4.25" customHeight="1">
      <c r="A17" s="99" t="s">
        <v>162</v>
      </c>
      <c r="B17" s="104">
        <f>+B15/SUM(B8:B11)</f>
        <v>0.12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4.2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4.25" customHeight="1">
      <c r="A19" s="99" t="s">
        <v>25</v>
      </c>
      <c r="B19" s="103">
        <f>+'Tax Strategies'!G69</f>
        <v>22500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4.2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4.25" customHeight="1">
      <c r="A21" s="99" t="s">
        <v>135</v>
      </c>
      <c r="B21" s="104">
        <f>(B19+B15)/SUM(B8:B11)</f>
        <v>0.1425</v>
      </c>
      <c r="C21" s="34"/>
      <c r="D21" s="105" t="s">
        <v>163</v>
      </c>
      <c r="E21" s="36">
        <f>+B8*E8+B9*E9+B10*E10</f>
        <v>800000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4.2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7.25" customHeight="1">
      <c r="A23" s="99" t="s">
        <v>164</v>
      </c>
      <c r="B23" s="103">
        <f>+E21*B3</f>
        <v>169519.3849</v>
      </c>
      <c r="C23" s="34"/>
      <c r="D23" s="34" t="s">
        <v>165</v>
      </c>
      <c r="E23" s="36">
        <f>+B15</f>
        <v>120000</v>
      </c>
      <c r="F23" s="34"/>
      <c r="G23" s="36"/>
      <c r="H23" s="34"/>
      <c r="I23" s="34" t="s">
        <v>166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4.2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4.25" customHeight="1">
      <c r="A25" s="99" t="s">
        <v>137</v>
      </c>
      <c r="B25" s="103">
        <f>SUM(B8:B11)+E23+E25+E27</f>
        <v>1389519.385</v>
      </c>
      <c r="C25" s="34"/>
      <c r="D25" s="34" t="s">
        <v>167</v>
      </c>
      <c r="E25" s="36">
        <f>+B23</f>
        <v>169519.3849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4.2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4.25" customHeight="1">
      <c r="A27" s="99" t="s">
        <v>168</v>
      </c>
      <c r="B27" s="104">
        <f>+B25/$B$2-1</f>
        <v>0.3895193849</v>
      </c>
      <c r="C27" s="34"/>
      <c r="D27" s="34" t="s">
        <v>152</v>
      </c>
      <c r="E27" s="36">
        <f>+B8*D8+B9*D9+B10*D10+B11*D11</f>
        <v>100000</v>
      </c>
      <c r="F27" s="34"/>
      <c r="G27" s="106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4.2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4.2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4.2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4.25" customHeight="1">
      <c r="A31" s="107" t="s">
        <v>169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37.5" customHeight="1">
      <c r="A32" s="99" t="s">
        <v>149</v>
      </c>
      <c r="B32" s="99" t="s">
        <v>150</v>
      </c>
      <c r="C32" s="99" t="s">
        <v>170</v>
      </c>
      <c r="D32" s="99" t="s">
        <v>152</v>
      </c>
      <c r="E32" s="99" t="s">
        <v>153</v>
      </c>
      <c r="F32" s="99" t="s">
        <v>154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4.25" customHeight="1">
      <c r="A33" s="100" t="s">
        <v>29</v>
      </c>
      <c r="B33" s="101">
        <f t="shared" ref="B33:F33" si="1">+B8</f>
        <v>500000</v>
      </c>
      <c r="C33" s="102">
        <f t="shared" si="1"/>
        <v>0.09</v>
      </c>
      <c r="D33" s="102">
        <f t="shared" si="1"/>
        <v>0.2</v>
      </c>
      <c r="E33" s="102">
        <f t="shared" si="1"/>
        <v>1.6</v>
      </c>
      <c r="F33" s="100">
        <f t="shared" si="1"/>
        <v>5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4.25" customHeight="1">
      <c r="A34" s="100" t="s">
        <v>171</v>
      </c>
      <c r="B34" s="101">
        <f t="shared" ref="B34:F34" si="2">+B8</f>
        <v>500000</v>
      </c>
      <c r="C34" s="102">
        <f t="shared" si="2"/>
        <v>0.09</v>
      </c>
      <c r="D34" s="102">
        <f t="shared" si="2"/>
        <v>0.2</v>
      </c>
      <c r="E34" s="102">
        <f t="shared" si="2"/>
        <v>1.6</v>
      </c>
      <c r="F34" s="100">
        <f t="shared" si="2"/>
        <v>5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4.25" customHeight="1">
      <c r="A35" s="100" t="s">
        <v>172</v>
      </c>
      <c r="B35" s="101">
        <f t="shared" ref="B35:C35" si="3">+B9</f>
        <v>500000</v>
      </c>
      <c r="C35" s="102">
        <f t="shared" si="3"/>
        <v>0.15</v>
      </c>
      <c r="D35" s="102" t="str">
        <f>+D10</f>
        <v/>
      </c>
      <c r="E35" s="102">
        <f>+E9</f>
        <v>0</v>
      </c>
      <c r="F35" s="100">
        <v>1.0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4.25" customHeight="1">
      <c r="A36" s="100" t="s">
        <v>161</v>
      </c>
      <c r="B36" s="100"/>
      <c r="C36" s="100"/>
      <c r="D36" s="100"/>
      <c r="E36" s="100"/>
      <c r="F36" s="100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4.2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4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4.25" customHeight="1">
      <c r="A39" s="34" t="s">
        <v>151</v>
      </c>
      <c r="B39" s="36">
        <f>+B33*C33+B34*C34+B35*C35+B36*C36</f>
        <v>165000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4.25" customHeight="1">
      <c r="A40" s="34" t="s">
        <v>145</v>
      </c>
      <c r="B40" s="36">
        <f>SUM(B33:B36)*0.035*-1</f>
        <v>-52500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4.25" customHeight="1">
      <c r="A41" s="99" t="s">
        <v>136</v>
      </c>
      <c r="B41" s="108">
        <f>SUM(B39:B40)</f>
        <v>112500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4.25" customHeight="1">
      <c r="A42" s="34"/>
      <c r="B42" s="10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4.25" customHeight="1">
      <c r="A43" s="99" t="s">
        <v>162</v>
      </c>
      <c r="B43" s="104">
        <f>+B41/SUM(B33:B36)</f>
        <v>0.075</v>
      </c>
      <c r="C43" s="3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4.25" customHeight="1">
      <c r="A44" s="110"/>
      <c r="B44" s="111"/>
      <c r="C44" s="3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4.25" customHeight="1">
      <c r="A45" s="99" t="s">
        <v>25</v>
      </c>
      <c r="B45" s="103">
        <f>+B19</f>
        <v>22500</v>
      </c>
      <c r="C45" s="35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4.25" customHeight="1">
      <c r="A47" s="99" t="s">
        <v>173</v>
      </c>
      <c r="B47" s="103">
        <f>+E47*B3</f>
        <v>339038.7699</v>
      </c>
      <c r="C47" s="34"/>
      <c r="D47" s="105" t="s">
        <v>163</v>
      </c>
      <c r="E47" s="109">
        <f>B33*E33+B34*E34+B35*E35+B36*E36</f>
        <v>1600000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4.25" customHeight="1">
      <c r="A49" s="99" t="s">
        <v>135</v>
      </c>
      <c r="B49" s="104">
        <f>(B45+B41)/SUM(B33:B36)</f>
        <v>0.09</v>
      </c>
      <c r="C49" s="34"/>
      <c r="D49" s="34" t="s">
        <v>170</v>
      </c>
      <c r="E49" s="36">
        <f>+B41</f>
        <v>112500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4.25" customHeight="1">
      <c r="A50" s="112"/>
      <c r="B50" s="11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4.25" customHeight="1">
      <c r="A51" s="99" t="s">
        <v>137</v>
      </c>
      <c r="B51" s="103">
        <f>SUM(B33:B36)+E49+E51+E53</f>
        <v>2151538.77</v>
      </c>
      <c r="C51" s="34"/>
      <c r="D51" s="34" t="s">
        <v>167</v>
      </c>
      <c r="E51" s="36">
        <f>+B47</f>
        <v>339038.7699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4.25" customHeight="1">
      <c r="A53" s="99" t="s">
        <v>168</v>
      </c>
      <c r="B53" s="104">
        <f>+B51/$B$2-1</f>
        <v>1.15153877</v>
      </c>
      <c r="C53" s="34"/>
      <c r="D53" s="34" t="s">
        <v>152</v>
      </c>
      <c r="E53" s="36">
        <f>+B33*D33+B34*D34+B35*D35+B36*D36</f>
        <v>200000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4.25" customHeight="1">
      <c r="A57" s="107" t="s">
        <v>174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37.5" customHeight="1">
      <c r="A58" s="99" t="s">
        <v>149</v>
      </c>
      <c r="B58" s="99" t="s">
        <v>150</v>
      </c>
      <c r="C58" s="99" t="s">
        <v>170</v>
      </c>
      <c r="D58" s="99" t="s">
        <v>152</v>
      </c>
      <c r="E58" s="99" t="s">
        <v>153</v>
      </c>
      <c r="F58" s="99" t="s">
        <v>154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4.25" customHeight="1">
      <c r="A59" s="100" t="s">
        <v>29</v>
      </c>
      <c r="B59" s="101">
        <f t="shared" ref="B59:F59" si="4">+B8</f>
        <v>500000</v>
      </c>
      <c r="C59" s="102">
        <f t="shared" si="4"/>
        <v>0.09</v>
      </c>
      <c r="D59" s="102">
        <f t="shared" si="4"/>
        <v>0.2</v>
      </c>
      <c r="E59" s="102">
        <f t="shared" si="4"/>
        <v>1.6</v>
      </c>
      <c r="F59" s="100">
        <f t="shared" si="4"/>
        <v>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4.25" customHeight="1">
      <c r="A60" s="100" t="s">
        <v>171</v>
      </c>
      <c r="B60" s="101">
        <f t="shared" ref="B60:F60" si="5">+B8</f>
        <v>500000</v>
      </c>
      <c r="C60" s="102">
        <f t="shared" si="5"/>
        <v>0.09</v>
      </c>
      <c r="D60" s="102">
        <f t="shared" si="5"/>
        <v>0.2</v>
      </c>
      <c r="E60" s="102">
        <f t="shared" si="5"/>
        <v>1.6</v>
      </c>
      <c r="F60" s="100">
        <f t="shared" si="5"/>
        <v>5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4.25" customHeight="1">
      <c r="A61" s="100" t="s">
        <v>175</v>
      </c>
      <c r="B61" s="101">
        <f t="shared" ref="B61:F61" si="6">+B8</f>
        <v>500000</v>
      </c>
      <c r="C61" s="102">
        <f t="shared" si="6"/>
        <v>0.09</v>
      </c>
      <c r="D61" s="102">
        <f t="shared" si="6"/>
        <v>0.2</v>
      </c>
      <c r="E61" s="102">
        <f t="shared" si="6"/>
        <v>1.6</v>
      </c>
      <c r="F61" s="100">
        <f t="shared" si="6"/>
        <v>5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4.25" customHeight="1">
      <c r="A62" s="100" t="s">
        <v>175</v>
      </c>
      <c r="B62" s="101">
        <f t="shared" ref="B62:F62" si="7">+B8</f>
        <v>500000</v>
      </c>
      <c r="C62" s="102">
        <f t="shared" si="7"/>
        <v>0.09</v>
      </c>
      <c r="D62" s="102">
        <f t="shared" si="7"/>
        <v>0.2</v>
      </c>
      <c r="E62" s="102">
        <f t="shared" si="7"/>
        <v>1.6</v>
      </c>
      <c r="F62" s="100">
        <f t="shared" si="7"/>
        <v>5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4.25" customHeight="1">
      <c r="A63" s="100" t="s">
        <v>172</v>
      </c>
      <c r="B63" s="101">
        <f t="shared" ref="B63:F63" si="8">+B9</f>
        <v>500000</v>
      </c>
      <c r="C63" s="102">
        <f t="shared" si="8"/>
        <v>0.15</v>
      </c>
      <c r="D63" s="102">
        <f t="shared" si="8"/>
        <v>0</v>
      </c>
      <c r="E63" s="102">
        <f t="shared" si="8"/>
        <v>0</v>
      </c>
      <c r="F63" s="100">
        <f t="shared" si="8"/>
        <v>1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4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4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4.25" customHeight="1">
      <c r="A66" s="34" t="s">
        <v>151</v>
      </c>
      <c r="B66" s="36">
        <f>+B59*C59+B60*C60+B61*C61+B62*C62+B63*C63</f>
        <v>255000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4.25" customHeight="1">
      <c r="A67" s="34" t="s">
        <v>145</v>
      </c>
      <c r="B67" s="36">
        <f>SUM(B59:B63)*0.035*-1</f>
        <v>-87500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4.25" customHeight="1">
      <c r="A68" s="99" t="s">
        <v>136</v>
      </c>
      <c r="B68" s="108">
        <f>SUM(B66:B67)</f>
        <v>167500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4.25" customHeight="1">
      <c r="A69" s="34"/>
      <c r="B69" s="109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4.25" customHeight="1">
      <c r="A70" s="99" t="s">
        <v>162</v>
      </c>
      <c r="B70" s="104">
        <f>+B68/SUM(B60:B63)</f>
        <v>0.08375</v>
      </c>
      <c r="C70" s="35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4.25" customHeight="1">
      <c r="A71" s="110"/>
      <c r="B71" s="111"/>
      <c r="C71" s="35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4.25" customHeight="1">
      <c r="A72" s="99" t="s">
        <v>25</v>
      </c>
      <c r="B72" s="103">
        <f>+B19</f>
        <v>22500</v>
      </c>
      <c r="C72" s="3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4.2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4.25" customHeight="1">
      <c r="A74" s="99" t="s">
        <v>173</v>
      </c>
      <c r="B74" s="103">
        <f>+E74*B3</f>
        <v>508558.1548</v>
      </c>
      <c r="C74" s="34"/>
      <c r="D74" s="105" t="s">
        <v>163</v>
      </c>
      <c r="E74" s="109">
        <f>B60*E60+B61*E61+B62*E62+B63*E63</f>
        <v>2400000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4.2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4.25" customHeight="1">
      <c r="A76" s="99" t="s">
        <v>135</v>
      </c>
      <c r="B76" s="104">
        <f>(B72+B68)/SUM(B59:B63)</f>
        <v>0.076</v>
      </c>
      <c r="C76" s="34"/>
      <c r="D76" s="34" t="s">
        <v>170</v>
      </c>
      <c r="E76" s="36">
        <f>+B68</f>
        <v>167500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4.25" customHeight="1">
      <c r="A77" s="112"/>
      <c r="B77" s="11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4.25" customHeight="1">
      <c r="A78" s="99" t="s">
        <v>137</v>
      </c>
      <c r="B78" s="103">
        <f>SUM(B60:B63)+E76+E78+E80</f>
        <v>3076058.155</v>
      </c>
      <c r="C78" s="34"/>
      <c r="D78" s="34" t="s">
        <v>167</v>
      </c>
      <c r="E78" s="36">
        <f>+B74</f>
        <v>508558.1548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4.2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4.25" customHeight="1">
      <c r="A80" s="99" t="s">
        <v>168</v>
      </c>
      <c r="B80" s="104">
        <f>+B78/$B$2-1</f>
        <v>2.076058155</v>
      </c>
      <c r="C80" s="34"/>
      <c r="D80" s="34" t="s">
        <v>152</v>
      </c>
      <c r="E80" s="36">
        <f>+B59*D59+B60*D60+B61*D61+B62*D62+B63*D63</f>
        <v>400000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4.2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4.2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4.2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4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4.2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4.2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4.2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4.2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4.2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4.2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4.2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4.2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4.2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4.2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4.2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4.2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4.2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4.2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4.2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4.2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4.2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4.2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4.2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4.2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4.2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4.2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4.2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4.2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4.2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4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4.2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4.2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4.2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4.2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4.2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4.2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4.2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4.2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4.2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4.2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4.2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4.2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4.2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4.2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4.2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4.2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4.2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4.2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4.2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4.2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4.2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4.2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4.2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4.2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4.2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4.2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4.2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4.2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4.2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4.2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4.2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4.2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4.2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4.2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4.2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4.2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4.2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4.2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4.2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4.2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4.2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4.2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4.2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4.2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4.2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4.2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4.2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4.2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4.2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4.2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4.2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4.2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4.2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4.2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4.2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4.2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4.2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4.2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4.2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4.2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4.2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4.2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4.2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4.2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4.2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4.2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4.2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4.2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4.2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4.2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4.2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4.2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4.2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4.2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4.2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4.2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4.2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4.2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4.2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4.2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4.2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4.2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4.2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4.2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4.2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4.2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4.2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4.2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4.2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4.2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4.2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4.2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4.2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4.2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4.2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4.2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4.2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4.2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4.2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4.2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4.2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4.2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4.2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4.2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4.2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4.2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4.2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4.2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4.2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4.2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4.2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4.2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4.2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4.2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4.2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4.2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4.2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4.2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4.2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4.2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4.2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4.2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4.2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4.2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4.2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4.2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4.2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4.2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4.2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4.2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4.2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4.2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4.2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4.2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4.2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4.2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4.2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4.2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4.2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4.2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4.2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4.2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4.2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4.2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4.2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4.2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4.2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4.2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4.2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4.2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4.2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4.2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4.2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4.2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4.2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4.2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4.2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4.2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4.2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4.2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4.2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4.2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4.2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4.2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4.2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4.2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4.2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4.2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4.2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4.2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2" width="13.14"/>
    <col customWidth="1" min="3" max="3" width="22.14"/>
    <col customWidth="1" min="4" max="4" width="29.29"/>
    <col customWidth="1" min="5" max="5" width="19.0"/>
    <col customWidth="1" min="6" max="6" width="16.14"/>
    <col customWidth="1" min="7" max="7" width="27.43"/>
    <col customWidth="1" min="8" max="8" width="13.71"/>
    <col customWidth="1" min="9" max="9" width="20.57"/>
    <col customWidth="1" min="10" max="10" width="9.86"/>
    <col customWidth="1" min="11" max="12" width="12.43"/>
    <col customWidth="1" min="13" max="13" width="20.57"/>
    <col customWidth="1" min="14" max="27" width="12.43"/>
  </cols>
  <sheetData>
    <row r="1" ht="15.75" customHeight="1">
      <c r="A1" s="114"/>
      <c r="B1" s="115">
        <v>2022.0</v>
      </c>
      <c r="C1" s="116"/>
      <c r="D1" s="117" t="s">
        <v>127</v>
      </c>
      <c r="E1" s="118"/>
      <c r="F1" s="118" t="s">
        <v>33</v>
      </c>
      <c r="G1" s="118" t="s">
        <v>176</v>
      </c>
      <c r="H1" s="114">
        <f>IF(M1='Tax Strategies'!$C$1,1,IF(M2='Tax Strategies'!$C$1,2,IF(M3='Tax Strategies'!$C$1,3,0)))</f>
        <v>2</v>
      </c>
      <c r="I1" s="119" t="s">
        <v>177</v>
      </c>
      <c r="K1" s="120">
        <v>0.015</v>
      </c>
      <c r="L1" s="114"/>
      <c r="M1" s="114" t="s">
        <v>178</v>
      </c>
      <c r="N1" s="114">
        <v>1.0</v>
      </c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ht="15.75" customHeight="1">
      <c r="A2" s="121" t="s">
        <v>179</v>
      </c>
      <c r="B2" s="116">
        <v>75000.0</v>
      </c>
      <c r="C2" s="116"/>
      <c r="D2" s="117" t="s">
        <v>180</v>
      </c>
      <c r="E2" s="118" t="s">
        <v>181</v>
      </c>
      <c r="F2" s="121"/>
      <c r="G2" s="121"/>
      <c r="H2" s="121"/>
      <c r="K2" s="114"/>
      <c r="L2" s="114"/>
      <c r="M2" s="114" t="s">
        <v>77</v>
      </c>
      <c r="N2" s="114">
        <v>2.0</v>
      </c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ht="15.75" customHeight="1">
      <c r="A3" s="114" t="s">
        <v>182</v>
      </c>
      <c r="B3" s="122">
        <f>+'Tax Strategies'!E38</f>
        <v>223469</v>
      </c>
      <c r="C3" s="116"/>
      <c r="D3" s="123">
        <f>CHOOSE($H$1,Actuals!D15,Actuals!D25,Actuals!D34)</f>
        <v>0</v>
      </c>
      <c r="E3" s="123">
        <f>CHOOSE($H$1,Actuals!E15,Actuals!E25,Actuals!E34)</f>
        <v>10275</v>
      </c>
      <c r="F3" s="124">
        <v>0.1</v>
      </c>
      <c r="G3" s="123"/>
      <c r="H3" s="121"/>
      <c r="M3" s="114" t="s">
        <v>183</v>
      </c>
      <c r="N3" s="114">
        <v>3.0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ht="15.75" customHeight="1">
      <c r="A4" s="121" t="s">
        <v>184</v>
      </c>
      <c r="B4" s="116">
        <f>+'Tax Strategies'!E52</f>
        <v>182874</v>
      </c>
      <c r="C4" s="116"/>
      <c r="D4" s="123">
        <f>CHOOSE($H$1,Actuals!D16,Actuals!D26,Actuals!D35)</f>
        <v>10276</v>
      </c>
      <c r="E4" s="123">
        <f>CHOOSE($H$1,Actuals!E16,Actuals!E26,Actuals!E35)</f>
        <v>41775</v>
      </c>
      <c r="F4" s="124">
        <v>0.12</v>
      </c>
      <c r="G4" s="123">
        <f t="shared" ref="G4:G9" si="1">CEILING((E3-D3)*F3+G3,0.5)</f>
        <v>1027.5</v>
      </c>
      <c r="H4" s="121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ht="15.75" customHeight="1">
      <c r="A5" s="125" t="s">
        <v>185</v>
      </c>
      <c r="B5" s="126">
        <f>VLOOKUP(TaxableIncome,FederalTaxTable,4)+(TaxableIncome-VLOOKUP(TaxableIncome,FederalTaxTable,1))*VLOOKUP(TaxableIncome,FederalTaxTable,3)</f>
        <v>38750.86</v>
      </c>
      <c r="C5" s="116"/>
      <c r="D5" s="123">
        <f>CHOOSE($H$1,Actuals!D17,Actuals!D27,Actuals!D36)</f>
        <v>41776</v>
      </c>
      <c r="E5" s="123">
        <f>CHOOSE($H$1,Actuals!E17,Actuals!E27,Actuals!E36)</f>
        <v>89075</v>
      </c>
      <c r="F5" s="124">
        <v>0.22</v>
      </c>
      <c r="G5" s="123">
        <f t="shared" si="1"/>
        <v>4807.5</v>
      </c>
      <c r="H5" s="121"/>
      <c r="K5" s="114"/>
      <c r="L5" s="114"/>
      <c r="M5" s="114" t="s">
        <v>186</v>
      </c>
      <c r="N5" s="114">
        <v>1.0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ht="15.75" customHeight="1">
      <c r="A6" s="121" t="s">
        <v>187</v>
      </c>
      <c r="B6" s="116">
        <f>IF(B2&gt;137700,137700*0.062, B2*0.062)</f>
        <v>4650</v>
      </c>
      <c r="C6" s="116"/>
      <c r="D6" s="123">
        <f>CHOOSE($H$1,Actuals!D18,Actuals!D28,Actuals!D37)</f>
        <v>89076</v>
      </c>
      <c r="E6" s="123">
        <f>CHOOSE($H$1,Actuals!E18,Actuals!E28,Actuals!E37)</f>
        <v>170050</v>
      </c>
      <c r="F6" s="124">
        <v>0.24</v>
      </c>
      <c r="G6" s="123">
        <f t="shared" si="1"/>
        <v>15213.5</v>
      </c>
      <c r="H6" s="121"/>
      <c r="J6" s="114"/>
      <c r="K6" s="114"/>
      <c r="L6" s="114"/>
      <c r="M6" s="114" t="s">
        <v>79</v>
      </c>
      <c r="N6" s="114">
        <v>0.0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ht="15.75" customHeight="1">
      <c r="A7" s="121" t="s">
        <v>188</v>
      </c>
      <c r="B7" s="116">
        <f>B2*0.0145</f>
        <v>1087.5</v>
      </c>
      <c r="C7" s="116"/>
      <c r="D7" s="123">
        <f>CHOOSE($H$1,Actuals!D19,Actuals!D29,Actuals!D38)</f>
        <v>170051</v>
      </c>
      <c r="E7" s="123">
        <f>CHOOSE($H$1,Actuals!E19,Actuals!E29,Actuals!E38)</f>
        <v>215950</v>
      </c>
      <c r="F7" s="124">
        <v>0.32</v>
      </c>
      <c r="G7" s="123">
        <f t="shared" si="1"/>
        <v>34647.5</v>
      </c>
      <c r="H7" s="121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ht="15.75" customHeight="1">
      <c r="A8" s="118" t="s">
        <v>189</v>
      </c>
      <c r="B8" s="117">
        <f>SUM(B5:B7)</f>
        <v>44488.36</v>
      </c>
      <c r="C8" s="116"/>
      <c r="D8" s="123">
        <f>CHOOSE($H$1,Actuals!D20,Actuals!D30,Actuals!D39)</f>
        <v>215951</v>
      </c>
      <c r="E8" s="123">
        <f>CHOOSE($H$1,Actuals!E20,Actuals!E30,Actuals!E39)</f>
        <v>539900</v>
      </c>
      <c r="F8" s="124">
        <v>0.35</v>
      </c>
      <c r="G8" s="123">
        <f t="shared" si="1"/>
        <v>49335.5</v>
      </c>
      <c r="H8" s="121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ht="15.75" customHeight="1">
      <c r="A9" s="114"/>
      <c r="B9" s="114"/>
      <c r="C9" s="114"/>
      <c r="D9" s="123">
        <f>CHOOSE($H$1,Actuals!D21,Actuals!D31,Actuals!D40)</f>
        <v>539901</v>
      </c>
      <c r="E9" s="123">
        <f>CHOOSE($H$1,Actuals!E21,Actuals!E31,Actuals!E40)</f>
        <v>100000000</v>
      </c>
      <c r="F9" s="124">
        <v>0.37</v>
      </c>
      <c r="G9" s="123">
        <f t="shared" si="1"/>
        <v>162718</v>
      </c>
      <c r="H9" s="121"/>
      <c r="I9" s="119" t="s">
        <v>190</v>
      </c>
      <c r="L9" s="119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ht="15.75" customHeight="1">
      <c r="A10" s="114"/>
      <c r="B10" s="114"/>
      <c r="C10" s="114"/>
      <c r="D10" s="114"/>
      <c r="E10" s="114"/>
      <c r="F10" s="114"/>
      <c r="G10" s="114"/>
      <c r="H10" s="114"/>
      <c r="I10" s="38" t="s">
        <v>51</v>
      </c>
      <c r="J10" s="38" t="s">
        <v>191</v>
      </c>
      <c r="K10" s="38" t="s">
        <v>192</v>
      </c>
      <c r="L10" s="38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ht="15.75" customHeight="1">
      <c r="A11" s="127" t="s">
        <v>193</v>
      </c>
      <c r="B11" s="128">
        <f>100/B4*B5</f>
        <v>21.18992312</v>
      </c>
      <c r="C11" s="114"/>
      <c r="D11" s="114"/>
      <c r="E11" s="114"/>
      <c r="F11" s="114"/>
      <c r="G11" s="114"/>
      <c r="H11" s="114"/>
      <c r="I11" s="114">
        <v>2022.0</v>
      </c>
      <c r="J11" s="36">
        <v>147000.0</v>
      </c>
      <c r="K11" s="106">
        <f t="shared" ref="K11:K19" si="2">(J11*0.9235)*0.153</f>
        <v>20770.4385</v>
      </c>
      <c r="L11" s="106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ht="15.75" customHeight="1">
      <c r="A12" s="114"/>
      <c r="B12" s="114"/>
      <c r="C12" s="114"/>
      <c r="D12" s="114"/>
      <c r="E12" s="114"/>
      <c r="F12" s="114"/>
      <c r="G12" s="114"/>
      <c r="H12" s="114"/>
      <c r="I12" s="114">
        <v>2023.0</v>
      </c>
      <c r="J12" s="36">
        <v>160200.0</v>
      </c>
      <c r="K12" s="106">
        <f t="shared" si="2"/>
        <v>22635.5391</v>
      </c>
      <c r="L12" s="106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ht="15.75" customHeight="1">
      <c r="A13" s="114"/>
      <c r="B13" s="114"/>
      <c r="C13" s="114"/>
      <c r="D13" s="114"/>
      <c r="E13" s="114"/>
      <c r="F13" s="114"/>
      <c r="G13" s="114"/>
      <c r="H13" s="114"/>
      <c r="I13" s="114">
        <v>2024.0</v>
      </c>
      <c r="J13" s="129">
        <f t="shared" ref="J13:J19" si="3">+J12*1.03</f>
        <v>165006</v>
      </c>
      <c r="K13" s="106">
        <f t="shared" si="2"/>
        <v>23314.60527</v>
      </c>
      <c r="L13" s="106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ht="15.75" customHeight="1">
      <c r="A14" s="114"/>
      <c r="B14" s="114"/>
      <c r="C14" s="114"/>
      <c r="D14" s="114" t="s">
        <v>194</v>
      </c>
      <c r="E14" s="114"/>
      <c r="F14" s="114"/>
      <c r="G14" s="114"/>
      <c r="H14" s="114"/>
      <c r="I14" s="114">
        <v>2025.0</v>
      </c>
      <c r="J14" s="129">
        <f t="shared" si="3"/>
        <v>169956.18</v>
      </c>
      <c r="K14" s="106">
        <f t="shared" si="2"/>
        <v>24014.04343</v>
      </c>
      <c r="L14" s="106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ht="15.75" customHeight="1">
      <c r="A15" s="114"/>
      <c r="B15" s="114"/>
      <c r="C15" s="114"/>
      <c r="D15" s="123">
        <v>0.0</v>
      </c>
      <c r="E15" s="123">
        <v>20550.0</v>
      </c>
      <c r="F15" s="124">
        <v>0.1</v>
      </c>
      <c r="G15" s="123"/>
      <c r="H15" s="114"/>
      <c r="I15" s="114">
        <v>2026.0</v>
      </c>
      <c r="J15" s="129">
        <f t="shared" si="3"/>
        <v>175054.8654</v>
      </c>
      <c r="K15" s="106">
        <f t="shared" si="2"/>
        <v>24734.46473</v>
      </c>
      <c r="L15" s="106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ht="15.75" customHeight="1">
      <c r="A16" s="114"/>
      <c r="B16" s="114"/>
      <c r="C16" s="114"/>
      <c r="D16" s="123">
        <f t="shared" ref="D16:D21" si="4">+E15+1</f>
        <v>20551</v>
      </c>
      <c r="E16" s="123">
        <v>83550.0</v>
      </c>
      <c r="F16" s="124">
        <v>0.12</v>
      </c>
      <c r="G16" s="123">
        <f t="shared" ref="G16:G21" si="5">CEILING((E15-D15)*F15+G15,0.5)</f>
        <v>2055</v>
      </c>
      <c r="H16" s="114"/>
      <c r="I16" s="114">
        <v>2027.0</v>
      </c>
      <c r="J16" s="129">
        <f t="shared" si="3"/>
        <v>180306.5114</v>
      </c>
      <c r="K16" s="106">
        <f t="shared" si="2"/>
        <v>25476.49868</v>
      </c>
      <c r="L16" s="106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</row>
    <row r="17" ht="15.75" customHeight="1">
      <c r="A17" s="114"/>
      <c r="B17" s="114"/>
      <c r="C17" s="114"/>
      <c r="D17" s="123">
        <f t="shared" si="4"/>
        <v>83551</v>
      </c>
      <c r="E17" s="123">
        <v>178150.0</v>
      </c>
      <c r="F17" s="124">
        <v>0.22</v>
      </c>
      <c r="G17" s="123">
        <f t="shared" si="5"/>
        <v>9615</v>
      </c>
      <c r="H17" s="114"/>
      <c r="I17" s="114">
        <v>2028.0</v>
      </c>
      <c r="J17" s="129">
        <f t="shared" si="3"/>
        <v>185715.7067</v>
      </c>
      <c r="K17" s="106">
        <f t="shared" si="2"/>
        <v>26240.79364</v>
      </c>
      <c r="L17" s="106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</row>
    <row r="18" ht="15.75" customHeight="1">
      <c r="A18" s="114"/>
      <c r="B18" s="114"/>
      <c r="C18" s="114"/>
      <c r="D18" s="123">
        <f t="shared" si="4"/>
        <v>178151</v>
      </c>
      <c r="E18" s="123">
        <v>340100.0</v>
      </c>
      <c r="F18" s="124">
        <v>0.24</v>
      </c>
      <c r="G18" s="123">
        <f t="shared" si="5"/>
        <v>30427</v>
      </c>
      <c r="H18" s="114"/>
      <c r="I18" s="114">
        <v>2029.0</v>
      </c>
      <c r="J18" s="129">
        <f t="shared" si="3"/>
        <v>191287.1779</v>
      </c>
      <c r="K18" s="106">
        <f t="shared" si="2"/>
        <v>27028.01745</v>
      </c>
      <c r="L18" s="106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ht="15.75" customHeight="1">
      <c r="A19" s="114"/>
      <c r="B19" s="114"/>
      <c r="C19" s="114"/>
      <c r="D19" s="123">
        <f t="shared" si="4"/>
        <v>340101</v>
      </c>
      <c r="E19" s="123">
        <v>431900.0</v>
      </c>
      <c r="F19" s="124">
        <v>0.32</v>
      </c>
      <c r="G19" s="123">
        <f t="shared" si="5"/>
        <v>69295</v>
      </c>
      <c r="H19" s="114"/>
      <c r="I19" s="114">
        <v>2030.0</v>
      </c>
      <c r="J19" s="129">
        <f t="shared" si="3"/>
        <v>197025.7932</v>
      </c>
      <c r="K19" s="106">
        <f t="shared" si="2"/>
        <v>27838.85797</v>
      </c>
      <c r="L19" s="106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</row>
    <row r="20" ht="15.75" customHeight="1">
      <c r="A20" s="114"/>
      <c r="B20" s="114"/>
      <c r="C20" s="114"/>
      <c r="D20" s="123">
        <f t="shared" si="4"/>
        <v>431901</v>
      </c>
      <c r="E20" s="123">
        <v>647850.0</v>
      </c>
      <c r="F20" s="124">
        <v>0.35</v>
      </c>
      <c r="G20" s="123">
        <f t="shared" si="5"/>
        <v>98671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</row>
    <row r="21" ht="15.75" customHeight="1">
      <c r="A21" s="114"/>
      <c r="B21" s="114"/>
      <c r="C21" s="114"/>
      <c r="D21" s="123">
        <f t="shared" si="4"/>
        <v>647851</v>
      </c>
      <c r="E21" s="123">
        <v>1.0E8</v>
      </c>
      <c r="F21" s="124">
        <v>0.37</v>
      </c>
      <c r="G21" s="123">
        <f t="shared" si="5"/>
        <v>174253.5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</row>
    <row r="22" ht="15.75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</row>
    <row r="23" ht="15.75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ht="15.75" customHeight="1">
      <c r="A24" s="114"/>
      <c r="B24" s="114"/>
      <c r="C24" s="114"/>
      <c r="D24" s="114" t="s">
        <v>77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</row>
    <row r="25" ht="15.75" customHeight="1">
      <c r="A25" s="114"/>
      <c r="B25" s="114"/>
      <c r="C25" s="114"/>
      <c r="D25" s="123">
        <v>0.0</v>
      </c>
      <c r="E25" s="123">
        <v>10275.0</v>
      </c>
      <c r="F25" s="124">
        <v>0.1</v>
      </c>
      <c r="G25" s="123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</row>
    <row r="26" ht="15.75" customHeight="1">
      <c r="A26" s="114"/>
      <c r="B26" s="114"/>
      <c r="C26" s="114"/>
      <c r="D26" s="123">
        <f t="shared" ref="D26:D31" si="6">+E25+1</f>
        <v>10276</v>
      </c>
      <c r="E26" s="123">
        <v>41775.0</v>
      </c>
      <c r="F26" s="124">
        <v>0.12</v>
      </c>
      <c r="G26" s="123">
        <f t="shared" ref="G26:G31" si="7">CEILING((E25-D25)*F25+G25,0.5)</f>
        <v>1027.5</v>
      </c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</row>
    <row r="27" ht="15.75" customHeight="1">
      <c r="A27" s="114"/>
      <c r="B27" s="114"/>
      <c r="C27" s="114"/>
      <c r="D27" s="123">
        <f t="shared" si="6"/>
        <v>41776</v>
      </c>
      <c r="E27" s="123">
        <v>89075.0</v>
      </c>
      <c r="F27" s="124">
        <v>0.22</v>
      </c>
      <c r="G27" s="123">
        <f t="shared" si="7"/>
        <v>4807.5</v>
      </c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ht="15.75" customHeight="1">
      <c r="A28" s="114"/>
      <c r="B28" s="114"/>
      <c r="C28" s="114"/>
      <c r="D28" s="123">
        <f t="shared" si="6"/>
        <v>89076</v>
      </c>
      <c r="E28" s="123">
        <v>170050.0</v>
      </c>
      <c r="F28" s="124">
        <v>0.24</v>
      </c>
      <c r="G28" s="123">
        <f t="shared" si="7"/>
        <v>15213.5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</row>
    <row r="29" ht="15.75" customHeight="1">
      <c r="A29" s="114"/>
      <c r="B29" s="114"/>
      <c r="C29" s="114"/>
      <c r="D29" s="123">
        <f t="shared" si="6"/>
        <v>170051</v>
      </c>
      <c r="E29" s="123">
        <v>215950.0</v>
      </c>
      <c r="F29" s="124">
        <v>0.32</v>
      </c>
      <c r="G29" s="123">
        <f t="shared" si="7"/>
        <v>34647.5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</row>
    <row r="30" ht="15.75" customHeight="1">
      <c r="A30" s="114"/>
      <c r="B30" s="114"/>
      <c r="C30" s="114"/>
      <c r="D30" s="123">
        <f t="shared" si="6"/>
        <v>215951</v>
      </c>
      <c r="E30" s="123">
        <v>539900.0</v>
      </c>
      <c r="F30" s="124">
        <v>0.35</v>
      </c>
      <c r="G30" s="123">
        <f t="shared" si="7"/>
        <v>49335.5</v>
      </c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</row>
    <row r="31" ht="15.75" customHeight="1">
      <c r="A31" s="114"/>
      <c r="B31" s="114"/>
      <c r="C31" s="114"/>
      <c r="D31" s="123">
        <f t="shared" si="6"/>
        <v>539901</v>
      </c>
      <c r="E31" s="123">
        <v>1.0E8</v>
      </c>
      <c r="F31" s="124">
        <v>0.37</v>
      </c>
      <c r="G31" s="123">
        <f t="shared" si="7"/>
        <v>162718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</row>
    <row r="32" ht="15.7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</row>
    <row r="33" ht="15.75" customHeight="1">
      <c r="A33" s="114"/>
      <c r="B33" s="114"/>
      <c r="C33" s="114"/>
      <c r="D33" s="114" t="s">
        <v>195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ht="15.75" customHeight="1">
      <c r="A34" s="114"/>
      <c r="B34" s="114"/>
      <c r="C34" s="114"/>
      <c r="D34" s="123">
        <v>0.0</v>
      </c>
      <c r="E34" s="123">
        <v>14650.0</v>
      </c>
      <c r="F34" s="124">
        <v>0.1</v>
      </c>
      <c r="G34" s="123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ht="15.75" customHeight="1">
      <c r="A35" s="114"/>
      <c r="B35" s="114"/>
      <c r="C35" s="114"/>
      <c r="D35" s="123">
        <f t="shared" ref="D35:D40" si="8">+E34+1</f>
        <v>14651</v>
      </c>
      <c r="E35" s="123">
        <v>55900.0</v>
      </c>
      <c r="F35" s="124">
        <v>0.12</v>
      </c>
      <c r="G35" s="123">
        <f t="shared" ref="G35:G40" si="9">CEILING((E34-D34)*F34+G34,0.5)</f>
        <v>1465</v>
      </c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ht="15.75" customHeight="1">
      <c r="A36" s="114"/>
      <c r="B36" s="114"/>
      <c r="C36" s="114"/>
      <c r="D36" s="123">
        <f t="shared" si="8"/>
        <v>55901</v>
      </c>
      <c r="E36" s="123">
        <v>89050.0</v>
      </c>
      <c r="F36" s="124">
        <v>0.22</v>
      </c>
      <c r="G36" s="123">
        <f t="shared" si="9"/>
        <v>6415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</row>
    <row r="37" ht="15.75" customHeight="1">
      <c r="A37" s="114"/>
      <c r="B37" s="114"/>
      <c r="C37" s="114"/>
      <c r="D37" s="123">
        <f t="shared" si="8"/>
        <v>89051</v>
      </c>
      <c r="E37" s="123">
        <v>170050.0</v>
      </c>
      <c r="F37" s="124">
        <v>0.24</v>
      </c>
      <c r="G37" s="123">
        <f t="shared" si="9"/>
        <v>13708</v>
      </c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</row>
    <row r="38" ht="15.75" customHeight="1">
      <c r="A38" s="114"/>
      <c r="B38" s="114"/>
      <c r="C38" s="114"/>
      <c r="D38" s="123">
        <f t="shared" si="8"/>
        <v>170051</v>
      </c>
      <c r="E38" s="123">
        <v>215950.0</v>
      </c>
      <c r="F38" s="124">
        <v>0.32</v>
      </c>
      <c r="G38" s="123">
        <f t="shared" si="9"/>
        <v>33148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ht="15.75" customHeight="1">
      <c r="A39" s="114"/>
      <c r="B39" s="114"/>
      <c r="C39" s="114"/>
      <c r="D39" s="123">
        <f t="shared" si="8"/>
        <v>215951</v>
      </c>
      <c r="E39" s="123">
        <v>539900.0</v>
      </c>
      <c r="F39" s="124">
        <v>0.35</v>
      </c>
      <c r="G39" s="123">
        <f t="shared" si="9"/>
        <v>47836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</row>
    <row r="40" ht="15.75" customHeight="1">
      <c r="A40" s="114"/>
      <c r="B40" s="114"/>
      <c r="C40" s="114"/>
      <c r="D40" s="123">
        <f t="shared" si="8"/>
        <v>539901</v>
      </c>
      <c r="E40" s="123">
        <v>1.0E8</v>
      </c>
      <c r="F40" s="124">
        <v>0.37</v>
      </c>
      <c r="G40" s="123">
        <f t="shared" si="9"/>
        <v>161218.5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ht="15.75" customHeight="1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ht="15.75" customHeight="1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</row>
    <row r="43" ht="15.75" customHeight="1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</row>
    <row r="44" ht="15.75" customHeigh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</row>
    <row r="45" ht="15.75" customHeight="1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</row>
    <row r="46" ht="15.75" customHeight="1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</row>
    <row r="47" ht="15.75" customHeight="1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ht="15.75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</row>
    <row r="49" ht="15.75" customHeight="1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</row>
    <row r="50" ht="15.75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</row>
    <row r="51" ht="15.75" customHeight="1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</row>
    <row r="52" ht="15.75" customHeight="1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</row>
    <row r="53" ht="15.75" customHeight="1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</row>
    <row r="54" ht="15.75" customHeight="1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</row>
    <row r="55" ht="15.75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</row>
    <row r="56" ht="15.75" customHeight="1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</row>
    <row r="57" ht="15.75" customHeight="1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</row>
    <row r="58" ht="15.75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</row>
    <row r="59" ht="15.75" customHeight="1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</row>
    <row r="60" ht="15.75" customHeight="1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</row>
    <row r="61" ht="15.75" customHeight="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</row>
    <row r="62" ht="15.7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</row>
    <row r="63" ht="15.75" customHeight="1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</row>
    <row r="64" ht="15.75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</row>
    <row r="65" ht="15.75" customHeight="1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</row>
    <row r="66" ht="15.75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</row>
    <row r="67" ht="15.75" customHeight="1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</row>
    <row r="68" ht="15.75" customHeight="1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</row>
    <row r="69" ht="15.75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</row>
    <row r="70" ht="15.75" customHeight="1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</row>
    <row r="71" ht="15.75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</row>
    <row r="72" ht="15.75" customHeight="1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</row>
    <row r="73" ht="15.75" customHeight="1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</row>
    <row r="74" ht="15.75" customHeight="1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</row>
    <row r="75" ht="15.75" customHeight="1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</row>
    <row r="76" ht="15.75" customHeight="1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</row>
    <row r="77" ht="15.75" customHeight="1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</row>
    <row r="78" ht="15.75" customHeight="1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</row>
    <row r="79" ht="15.75" customHeight="1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</row>
    <row r="80" ht="15.75" customHeight="1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</row>
    <row r="81" ht="15.75" customHeight="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</row>
    <row r="82" ht="15.75" customHeight="1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</row>
    <row r="83" ht="15.75" customHeight="1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</row>
    <row r="84" ht="15.75" customHeight="1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</row>
    <row r="85" ht="15.75" customHeight="1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</row>
    <row r="86" ht="15.75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</row>
    <row r="87" ht="15.75" customHeight="1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</row>
    <row r="88" ht="15.75" customHeight="1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</row>
    <row r="89" ht="15.75" customHeight="1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</row>
    <row r="90" ht="15.75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</row>
    <row r="91" ht="15.75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</row>
    <row r="92" ht="15.75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</row>
    <row r="93" ht="15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</row>
    <row r="94" ht="15.75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</row>
    <row r="95" ht="15.75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</row>
    <row r="96" ht="15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</row>
    <row r="97" ht="15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</row>
    <row r="98" ht="15.7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</row>
    <row r="99" ht="15.7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</row>
    <row r="100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</row>
    <row r="101" ht="15.75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</row>
    <row r="102" ht="15.75" customHeight="1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</row>
    <row r="103" ht="15.75" customHeight="1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</row>
    <row r="104" ht="15.75" customHeight="1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</row>
    <row r="105" ht="15.75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</row>
    <row r="106" ht="15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</row>
    <row r="107" ht="15.75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</row>
    <row r="108" ht="15.75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</row>
    <row r="109" ht="15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</row>
    <row r="110" ht="15.75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</row>
    <row r="111" ht="15.75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</row>
    <row r="112" ht="15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</row>
    <row r="113" ht="15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</row>
    <row r="114" ht="15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</row>
    <row r="115" ht="15.75" customHeight="1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</row>
    <row r="116" ht="15.75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</row>
    <row r="117" ht="15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</row>
    <row r="118" ht="15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</row>
    <row r="119" ht="15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</row>
    <row r="120" ht="15.75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</row>
    <row r="121" ht="15.7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</row>
    <row r="122" ht="15.75" customHeight="1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</row>
    <row r="123" ht="15.75" customHeight="1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</row>
    <row r="124" ht="15.75" customHeight="1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</row>
    <row r="125" ht="15.75" customHeight="1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</row>
    <row r="126" ht="15.75" customHeight="1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</row>
    <row r="127" ht="15.75" customHeight="1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</row>
    <row r="128" ht="15.75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</row>
    <row r="129" ht="15.75" customHeight="1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</row>
    <row r="130" ht="15.75" customHeight="1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</row>
    <row r="131" ht="15.75" customHeight="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</row>
    <row r="132" ht="15.75" customHeight="1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</row>
    <row r="133" ht="15.75" customHeight="1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</row>
    <row r="134" ht="15.75" customHeight="1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</row>
    <row r="135" ht="15.75" customHeight="1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</row>
    <row r="136" ht="15.75" customHeight="1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</row>
    <row r="137" ht="15.75" customHeight="1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</row>
    <row r="138" ht="15.75" customHeight="1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</row>
    <row r="139" ht="15.75" customHeight="1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</row>
    <row r="140" ht="15.75" customHeight="1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</row>
    <row r="141" ht="15.75" customHeight="1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</row>
    <row r="142" ht="15.75" customHeight="1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</row>
    <row r="143" ht="15.75" customHeight="1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</row>
    <row r="144" ht="15.75" customHeight="1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</row>
    <row r="145" ht="15.75" customHeight="1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</row>
    <row r="146" ht="15.75" customHeight="1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</row>
    <row r="147" ht="15.75" customHeight="1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</row>
    <row r="148" ht="15.75" customHeight="1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</row>
    <row r="149" ht="15.75" customHeight="1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</row>
    <row r="150" ht="15.75" customHeight="1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</row>
    <row r="151" ht="15.75" customHeight="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</row>
    <row r="152" ht="15.75" customHeight="1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</row>
    <row r="153" ht="15.75" customHeight="1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</row>
    <row r="154" ht="15.75" customHeight="1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</row>
    <row r="155" ht="15.75" customHeight="1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</row>
    <row r="156" ht="15.75" customHeight="1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</row>
    <row r="157" ht="15.75" customHeight="1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</row>
    <row r="158" ht="15.75" customHeight="1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</row>
    <row r="159" ht="15.75" customHeight="1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</row>
    <row r="160" ht="15.75" customHeight="1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</row>
    <row r="161" ht="15.75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</row>
    <row r="162" ht="15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</row>
    <row r="163" ht="15.7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</row>
    <row r="164" ht="15.75" customHeight="1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</row>
    <row r="165" ht="15.75" customHeight="1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</row>
    <row r="166" ht="15.75" customHeight="1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</row>
    <row r="167" ht="15.75" customHeight="1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</row>
    <row r="168" ht="15.75" customHeight="1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</row>
    <row r="169" ht="15.75" customHeight="1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</row>
    <row r="170" ht="15.7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</row>
    <row r="171" ht="15.75" customHeight="1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</row>
    <row r="172" ht="15.75" customHeight="1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</row>
    <row r="173" ht="15.75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</row>
    <row r="174" ht="15.75" customHeight="1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</row>
    <row r="175" ht="15.75" customHeight="1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</row>
    <row r="176" ht="15.75" customHeight="1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</row>
    <row r="177" ht="15.75" customHeight="1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</row>
    <row r="178" ht="15.75" customHeight="1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</row>
    <row r="179" ht="15.75" customHeight="1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</row>
    <row r="180" ht="15.75" customHeight="1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</row>
    <row r="181" ht="15.75" customHeight="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</row>
    <row r="182" ht="15.75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</row>
    <row r="183" ht="15.75" customHeight="1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</row>
    <row r="184" ht="15.75" customHeight="1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</row>
    <row r="185" ht="15.75" customHeight="1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</row>
    <row r="186" ht="15.75" customHeight="1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</row>
    <row r="187" ht="15.75" customHeight="1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</row>
    <row r="188" ht="15.75" customHeight="1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</row>
    <row r="189" ht="15.75" customHeight="1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</row>
    <row r="190" ht="15.75" customHeight="1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</row>
    <row r="191" ht="15.75" customHeight="1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</row>
    <row r="192" ht="15.75" customHeight="1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</row>
    <row r="193" ht="15.75" customHeight="1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</row>
    <row r="194" ht="15.75" customHeight="1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</row>
    <row r="195" ht="15.75" customHeight="1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</row>
    <row r="196" ht="15.75" customHeight="1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</row>
    <row r="197" ht="15.75" customHeight="1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</row>
    <row r="198" ht="15.75" customHeight="1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ht="15.7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</row>
    <row r="200" ht="15.75" customHeight="1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</row>
    <row r="201" ht="15.75" customHeight="1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</row>
    <row r="202" ht="15.75" customHeight="1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</row>
    <row r="203" ht="15.75" customHeight="1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</row>
    <row r="204" ht="15.75" customHeight="1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</row>
    <row r="205" ht="15.75" customHeight="1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</row>
    <row r="206" ht="15.75" customHeight="1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</row>
    <row r="207" ht="15.75" customHeight="1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</row>
    <row r="208" ht="15.75" customHeight="1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</row>
    <row r="209" ht="15.75" customHeight="1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</row>
    <row r="210" ht="15.75" customHeight="1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</row>
    <row r="211" ht="15.75" customHeight="1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</row>
    <row r="212" ht="15.75" customHeight="1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</row>
    <row r="213" ht="15.75" customHeight="1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</row>
    <row r="214" ht="15.75" customHeight="1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</row>
    <row r="215" ht="15.75" customHeight="1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</row>
    <row r="216" ht="15.75" customHeight="1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</row>
    <row r="217" ht="15.75" customHeight="1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</row>
    <row r="218" ht="15.75" customHeight="1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</row>
    <row r="219" ht="15.75" customHeight="1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</row>
    <row r="220" ht="15.75" customHeight="1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</row>
    <row r="221" ht="15.75" customHeight="1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</row>
    <row r="222" ht="15.75" customHeight="1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</row>
    <row r="223" ht="15.75" customHeight="1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</row>
    <row r="224" ht="15.75" customHeight="1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</row>
    <row r="225" ht="15.75" customHeight="1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</row>
    <row r="226" ht="15.75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</row>
    <row r="227" ht="15.75" customHeight="1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</row>
    <row r="228" ht="15.75" customHeight="1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</row>
    <row r="229" ht="15.75" customHeight="1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</row>
    <row r="230" ht="15.75" customHeight="1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</row>
    <row r="231" ht="15.75" customHeight="1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</row>
    <row r="232" ht="15.75" customHeight="1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</row>
    <row r="233" ht="15.75" customHeight="1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</row>
    <row r="234" ht="15.75" customHeight="1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</row>
    <row r="235" ht="15.75" customHeight="1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</row>
    <row r="236" ht="15.75" customHeight="1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</row>
    <row r="237" ht="15.75" customHeight="1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</row>
    <row r="238" ht="15.75" customHeight="1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</row>
    <row r="239" ht="15.75" customHeight="1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</row>
    <row r="240" ht="15.75" customHeight="1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I1:J1"/>
    <mergeCell ref="I9:K9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2" width="13.14"/>
    <col customWidth="1" min="3" max="3" width="22.14"/>
    <col customWidth="1" min="4" max="4" width="29.29"/>
    <col customWidth="1" min="5" max="5" width="19.0"/>
    <col customWidth="1" min="6" max="6" width="16.14"/>
    <col customWidth="1" min="7" max="7" width="27.43"/>
    <col customWidth="1" min="8" max="8" width="13.71"/>
    <col customWidth="1" min="9" max="9" width="20.57"/>
    <col customWidth="1" min="10" max="10" width="9.86"/>
    <col customWidth="1" min="11" max="12" width="12.43"/>
    <col customWidth="1" min="13" max="13" width="20.57"/>
    <col customWidth="1" min="14" max="27" width="12.43"/>
  </cols>
  <sheetData>
    <row r="1" ht="15.75" customHeight="1">
      <c r="A1" s="114"/>
      <c r="B1" s="115">
        <v>2022.0</v>
      </c>
      <c r="C1" s="116"/>
      <c r="D1" s="117" t="s">
        <v>127</v>
      </c>
      <c r="E1" s="118"/>
      <c r="F1" s="118" t="s">
        <v>33</v>
      </c>
      <c r="G1" s="118" t="s">
        <v>176</v>
      </c>
      <c r="H1" s="114">
        <f>IF(M1='Tax Strategies'!$C$1,1,IF(M2='Tax Strategies'!$C$1,2,IF(M3='Tax Strategies'!$C$1,3,0)))</f>
        <v>2</v>
      </c>
      <c r="I1" s="119" t="s">
        <v>177</v>
      </c>
      <c r="K1" s="120">
        <v>0.015</v>
      </c>
      <c r="L1" s="114"/>
      <c r="M1" s="114" t="s">
        <v>178</v>
      </c>
      <c r="N1" s="114">
        <v>1.0</v>
      </c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ht="15.75" customHeight="1">
      <c r="A2" s="121" t="s">
        <v>179</v>
      </c>
      <c r="B2" s="116"/>
      <c r="C2" s="116"/>
      <c r="D2" s="117" t="s">
        <v>180</v>
      </c>
      <c r="E2" s="118" t="s">
        <v>181</v>
      </c>
      <c r="F2" s="121"/>
      <c r="G2" s="121"/>
      <c r="H2" s="121"/>
      <c r="K2" s="114"/>
      <c r="L2" s="114"/>
      <c r="M2" s="114" t="s">
        <v>77</v>
      </c>
      <c r="N2" s="114">
        <v>2.0</v>
      </c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ht="15.75" customHeight="1">
      <c r="A3" s="114" t="s">
        <v>182</v>
      </c>
      <c r="B3" s="122"/>
      <c r="C3" s="116"/>
      <c r="D3" s="123">
        <f>CHOOSE($H$1,Estimate!D15,Estimate!D25,Estimate!D34)</f>
        <v>0</v>
      </c>
      <c r="E3" s="123">
        <f>CHOOSE($H$1,Estimate!E15,Estimate!E25,Estimate!E34)</f>
        <v>10275</v>
      </c>
      <c r="F3" s="124">
        <v>0.1</v>
      </c>
      <c r="G3" s="123"/>
      <c r="H3" s="121"/>
      <c r="M3" s="114" t="s">
        <v>183</v>
      </c>
      <c r="N3" s="114">
        <v>3.0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ht="15.75" customHeight="1">
      <c r="A4" s="121" t="s">
        <v>184</v>
      </c>
      <c r="B4" s="116">
        <f>+'Tax Strategies'!G52</f>
        <v>144905</v>
      </c>
      <c r="C4" s="116"/>
      <c r="D4" s="123">
        <f>CHOOSE($H$1,Estimate!D16,Estimate!D26,Estimate!D35)</f>
        <v>10276</v>
      </c>
      <c r="E4" s="123">
        <f>CHOOSE($H$1,Estimate!E16,Estimate!E26,Estimate!E35)</f>
        <v>41775</v>
      </c>
      <c r="F4" s="124">
        <v>0.12</v>
      </c>
      <c r="G4" s="123">
        <f t="shared" ref="G4:G9" si="1">CEILING((E3-D3)*F3+G3,0.5)</f>
        <v>1027.5</v>
      </c>
      <c r="H4" s="121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ht="15.75" customHeight="1">
      <c r="A5" s="125" t="s">
        <v>185</v>
      </c>
      <c r="B5" s="126">
        <f>VLOOKUP(Estimate!TaxableIncome,Estimate!FederalTaxTable,4)+(Estimate!TaxableIncome-VLOOKUP(Estimate!TaxableIncome,Estimate!FederalTaxTable,1))*VLOOKUP(Estimate!TaxableIncome,Estimate!FederalTaxTable,3)</f>
        <v>28612.46</v>
      </c>
      <c r="C5" s="116"/>
      <c r="D5" s="123">
        <f>CHOOSE($H$1,Estimate!D17,Estimate!D27,Estimate!D36)</f>
        <v>41776</v>
      </c>
      <c r="E5" s="123">
        <f>CHOOSE($H$1,Estimate!E17,Estimate!E27,Estimate!E36)</f>
        <v>89075</v>
      </c>
      <c r="F5" s="124">
        <v>0.22</v>
      </c>
      <c r="G5" s="123">
        <f t="shared" si="1"/>
        <v>4807.5</v>
      </c>
      <c r="H5" s="121"/>
      <c r="K5" s="114"/>
      <c r="L5" s="114"/>
      <c r="M5" s="114" t="s">
        <v>186</v>
      </c>
      <c r="N5" s="114">
        <v>1.0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ht="15.75" customHeight="1">
      <c r="A6" s="121" t="s">
        <v>187</v>
      </c>
      <c r="B6" s="116">
        <f>IF(B2&gt;137700,137700*0.062, B2*0.062)</f>
        <v>0</v>
      </c>
      <c r="C6" s="116"/>
      <c r="D6" s="123">
        <f>CHOOSE($H$1,Estimate!D18,Estimate!D28,Estimate!D37)</f>
        <v>89076</v>
      </c>
      <c r="E6" s="123">
        <f>CHOOSE($H$1,Estimate!E18,Estimate!E28,Estimate!E37)</f>
        <v>170050</v>
      </c>
      <c r="F6" s="124">
        <v>0.24</v>
      </c>
      <c r="G6" s="123">
        <f t="shared" si="1"/>
        <v>15213.5</v>
      </c>
      <c r="H6" s="121"/>
      <c r="J6" s="114"/>
      <c r="K6" s="114"/>
      <c r="L6" s="114"/>
      <c r="M6" s="114" t="s">
        <v>79</v>
      </c>
      <c r="N6" s="114">
        <v>0.0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ht="15.75" customHeight="1">
      <c r="A7" s="121" t="s">
        <v>188</v>
      </c>
      <c r="B7" s="116">
        <f>B2*0.0145</f>
        <v>0</v>
      </c>
      <c r="C7" s="116"/>
      <c r="D7" s="123">
        <f>CHOOSE($H$1,Estimate!D19,Estimate!D29,Estimate!D38)</f>
        <v>170051</v>
      </c>
      <c r="E7" s="123">
        <f>CHOOSE($H$1,Estimate!E19,Estimate!E29,Estimate!E38)</f>
        <v>215950</v>
      </c>
      <c r="F7" s="124">
        <v>0.32</v>
      </c>
      <c r="G7" s="123">
        <f t="shared" si="1"/>
        <v>34647.5</v>
      </c>
      <c r="H7" s="121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ht="15.75" customHeight="1">
      <c r="A8" s="118" t="s">
        <v>189</v>
      </c>
      <c r="B8" s="117">
        <f>SUM(B5:B7)</f>
        <v>28612.46</v>
      </c>
      <c r="C8" s="116"/>
      <c r="D8" s="123">
        <f>CHOOSE($H$1,Estimate!D20,Estimate!D30,Estimate!D39)</f>
        <v>215951</v>
      </c>
      <c r="E8" s="123">
        <f>CHOOSE($H$1,Estimate!E20,Estimate!E30,Estimate!E39)</f>
        <v>539900</v>
      </c>
      <c r="F8" s="124">
        <v>0.35</v>
      </c>
      <c r="G8" s="123">
        <f t="shared" si="1"/>
        <v>49335.5</v>
      </c>
      <c r="H8" s="121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ht="15.75" customHeight="1">
      <c r="A9" s="114"/>
      <c r="B9" s="114"/>
      <c r="C9" s="114"/>
      <c r="D9" s="123">
        <f>CHOOSE($H$1,Estimate!D21,Estimate!D31,Estimate!D40)</f>
        <v>539901</v>
      </c>
      <c r="E9" s="123">
        <f>CHOOSE($H$1,Estimate!E21,Estimate!E31,Estimate!E40)</f>
        <v>100000000</v>
      </c>
      <c r="F9" s="124">
        <v>0.37</v>
      </c>
      <c r="G9" s="123">
        <f t="shared" si="1"/>
        <v>162718</v>
      </c>
      <c r="H9" s="121"/>
      <c r="I9" s="119" t="s">
        <v>190</v>
      </c>
      <c r="L9" s="119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ht="15.75" customHeight="1">
      <c r="A10" s="114"/>
      <c r="B10" s="114"/>
      <c r="C10" s="114"/>
      <c r="D10" s="114"/>
      <c r="E10" s="114"/>
      <c r="F10" s="114"/>
      <c r="G10" s="114"/>
      <c r="H10" s="114"/>
      <c r="I10" s="38" t="s">
        <v>51</v>
      </c>
      <c r="J10" s="38" t="s">
        <v>191</v>
      </c>
      <c r="K10" s="38" t="s">
        <v>192</v>
      </c>
      <c r="L10" s="38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ht="15.75" customHeight="1">
      <c r="A11" s="127" t="s">
        <v>193</v>
      </c>
      <c r="B11" s="128">
        <f>100/B4*B5</f>
        <v>19.74566785</v>
      </c>
      <c r="C11" s="114"/>
      <c r="D11" s="114"/>
      <c r="E11" s="114"/>
      <c r="F11" s="114"/>
      <c r="G11" s="114"/>
      <c r="H11" s="114"/>
      <c r="I11" s="114">
        <v>2022.0</v>
      </c>
      <c r="J11" s="36">
        <v>147000.0</v>
      </c>
      <c r="K11" s="106">
        <f t="shared" ref="K11:K19" si="2">(J11*0.9235)*0.153</f>
        <v>20770.4385</v>
      </c>
      <c r="L11" s="106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ht="15.75" customHeight="1">
      <c r="A12" s="114"/>
      <c r="B12" s="114"/>
      <c r="C12" s="114"/>
      <c r="D12" s="114"/>
      <c r="E12" s="114"/>
      <c r="F12" s="114"/>
      <c r="G12" s="114"/>
      <c r="H12" s="114"/>
      <c r="I12" s="114">
        <v>2023.0</v>
      </c>
      <c r="J12" s="36">
        <v>160200.0</v>
      </c>
      <c r="K12" s="106">
        <f t="shared" si="2"/>
        <v>22635.5391</v>
      </c>
      <c r="L12" s="106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ht="15.75" customHeight="1">
      <c r="A13" s="114"/>
      <c r="B13" s="114"/>
      <c r="C13" s="114"/>
      <c r="D13" s="114"/>
      <c r="E13" s="114"/>
      <c r="F13" s="114"/>
      <c r="G13" s="114"/>
      <c r="H13" s="114"/>
      <c r="I13" s="114">
        <v>2024.0</v>
      </c>
      <c r="J13" s="129">
        <f t="shared" ref="J13:J19" si="3">+J12*1.03</f>
        <v>165006</v>
      </c>
      <c r="K13" s="106">
        <f t="shared" si="2"/>
        <v>23314.60527</v>
      </c>
      <c r="L13" s="106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ht="15.75" customHeight="1">
      <c r="A14" s="114"/>
      <c r="B14" s="114"/>
      <c r="C14" s="114"/>
      <c r="D14" s="114" t="s">
        <v>194</v>
      </c>
      <c r="E14" s="114"/>
      <c r="F14" s="114"/>
      <c r="G14" s="114"/>
      <c r="H14" s="114"/>
      <c r="I14" s="114">
        <v>2025.0</v>
      </c>
      <c r="J14" s="129">
        <f t="shared" si="3"/>
        <v>169956.18</v>
      </c>
      <c r="K14" s="106">
        <f t="shared" si="2"/>
        <v>24014.04343</v>
      </c>
      <c r="L14" s="106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ht="15.75" customHeight="1">
      <c r="A15" s="114"/>
      <c r="B15" s="114"/>
      <c r="C15" s="114"/>
      <c r="D15" s="123">
        <v>0.0</v>
      </c>
      <c r="E15" s="123">
        <v>20550.0</v>
      </c>
      <c r="F15" s="124">
        <v>0.1</v>
      </c>
      <c r="G15" s="123"/>
      <c r="H15" s="114"/>
      <c r="I15" s="114">
        <v>2026.0</v>
      </c>
      <c r="J15" s="129">
        <f t="shared" si="3"/>
        <v>175054.8654</v>
      </c>
      <c r="K15" s="106">
        <f t="shared" si="2"/>
        <v>24734.46473</v>
      </c>
      <c r="L15" s="106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ht="15.75" customHeight="1">
      <c r="A16" s="114"/>
      <c r="B16" s="114"/>
      <c r="C16" s="114"/>
      <c r="D16" s="123">
        <f t="shared" ref="D16:D21" si="4">+E15+1</f>
        <v>20551</v>
      </c>
      <c r="E16" s="123">
        <v>83550.0</v>
      </c>
      <c r="F16" s="124">
        <v>0.12</v>
      </c>
      <c r="G16" s="123">
        <f t="shared" ref="G16:G21" si="5">CEILING((E15-D15)*F15+G15,0.5)</f>
        <v>2055</v>
      </c>
      <c r="H16" s="114"/>
      <c r="I16" s="114">
        <v>2027.0</v>
      </c>
      <c r="J16" s="129">
        <f t="shared" si="3"/>
        <v>180306.5114</v>
      </c>
      <c r="K16" s="106">
        <f t="shared" si="2"/>
        <v>25476.49868</v>
      </c>
      <c r="L16" s="106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</row>
    <row r="17" ht="15.75" customHeight="1">
      <c r="A17" s="114"/>
      <c r="B17" s="114"/>
      <c r="C17" s="114"/>
      <c r="D17" s="123">
        <f t="shared" si="4"/>
        <v>83551</v>
      </c>
      <c r="E17" s="123">
        <v>178150.0</v>
      </c>
      <c r="F17" s="124">
        <v>0.22</v>
      </c>
      <c r="G17" s="123">
        <f t="shared" si="5"/>
        <v>9615</v>
      </c>
      <c r="H17" s="114"/>
      <c r="I17" s="114">
        <v>2028.0</v>
      </c>
      <c r="J17" s="129">
        <f t="shared" si="3"/>
        <v>185715.7067</v>
      </c>
      <c r="K17" s="106">
        <f t="shared" si="2"/>
        <v>26240.79364</v>
      </c>
      <c r="L17" s="106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</row>
    <row r="18" ht="15.75" customHeight="1">
      <c r="A18" s="114"/>
      <c r="B18" s="114"/>
      <c r="C18" s="114"/>
      <c r="D18" s="123">
        <f t="shared" si="4"/>
        <v>178151</v>
      </c>
      <c r="E18" s="123">
        <v>340100.0</v>
      </c>
      <c r="F18" s="124">
        <v>0.24</v>
      </c>
      <c r="G18" s="123">
        <f t="shared" si="5"/>
        <v>30427</v>
      </c>
      <c r="H18" s="114"/>
      <c r="I18" s="114">
        <v>2029.0</v>
      </c>
      <c r="J18" s="129">
        <f t="shared" si="3"/>
        <v>191287.1779</v>
      </c>
      <c r="K18" s="106">
        <f t="shared" si="2"/>
        <v>27028.01745</v>
      </c>
      <c r="L18" s="106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ht="15.75" customHeight="1">
      <c r="A19" s="114"/>
      <c r="B19" s="114"/>
      <c r="C19" s="114"/>
      <c r="D19" s="123">
        <f t="shared" si="4"/>
        <v>340101</v>
      </c>
      <c r="E19" s="123">
        <v>431900.0</v>
      </c>
      <c r="F19" s="124">
        <v>0.32</v>
      </c>
      <c r="G19" s="123">
        <f t="shared" si="5"/>
        <v>69295</v>
      </c>
      <c r="H19" s="114"/>
      <c r="I19" s="114">
        <v>2030.0</v>
      </c>
      <c r="J19" s="129">
        <f t="shared" si="3"/>
        <v>197025.7932</v>
      </c>
      <c r="K19" s="106">
        <f t="shared" si="2"/>
        <v>27838.85797</v>
      </c>
      <c r="L19" s="106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</row>
    <row r="20" ht="15.75" customHeight="1">
      <c r="A20" s="114"/>
      <c r="B20" s="114"/>
      <c r="C20" s="114"/>
      <c r="D20" s="123">
        <f t="shared" si="4"/>
        <v>431901</v>
      </c>
      <c r="E20" s="123">
        <v>647850.0</v>
      </c>
      <c r="F20" s="124">
        <v>0.35</v>
      </c>
      <c r="G20" s="123">
        <f t="shared" si="5"/>
        <v>98671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</row>
    <row r="21" ht="15.75" customHeight="1">
      <c r="A21" s="114"/>
      <c r="B21" s="114"/>
      <c r="C21" s="114"/>
      <c r="D21" s="123">
        <f t="shared" si="4"/>
        <v>647851</v>
      </c>
      <c r="E21" s="123">
        <v>1.0E8</v>
      </c>
      <c r="F21" s="124">
        <v>0.37</v>
      </c>
      <c r="G21" s="123">
        <f t="shared" si="5"/>
        <v>174253.5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</row>
    <row r="22" ht="15.75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</row>
    <row r="23" ht="15.75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ht="15.75" customHeight="1">
      <c r="A24" s="114"/>
      <c r="B24" s="114"/>
      <c r="C24" s="114"/>
      <c r="D24" s="114" t="s">
        <v>77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</row>
    <row r="25" ht="15.75" customHeight="1">
      <c r="A25" s="114"/>
      <c r="B25" s="114"/>
      <c r="C25" s="114"/>
      <c r="D25" s="123">
        <v>0.0</v>
      </c>
      <c r="E25" s="123">
        <v>10275.0</v>
      </c>
      <c r="F25" s="124">
        <v>0.1</v>
      </c>
      <c r="G25" s="123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</row>
    <row r="26" ht="15.75" customHeight="1">
      <c r="A26" s="114"/>
      <c r="B26" s="114"/>
      <c r="C26" s="114"/>
      <c r="D26" s="123">
        <f t="shared" ref="D26:D31" si="6">+E25+1</f>
        <v>10276</v>
      </c>
      <c r="E26" s="123">
        <v>41775.0</v>
      </c>
      <c r="F26" s="124">
        <v>0.12</v>
      </c>
      <c r="G26" s="123">
        <f t="shared" ref="G26:G31" si="7">CEILING((E25-D25)*F25+G25,0.5)</f>
        <v>1027.5</v>
      </c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</row>
    <row r="27" ht="15.75" customHeight="1">
      <c r="A27" s="114"/>
      <c r="B27" s="114"/>
      <c r="C27" s="114"/>
      <c r="D27" s="123">
        <f t="shared" si="6"/>
        <v>41776</v>
      </c>
      <c r="E27" s="123">
        <v>89075.0</v>
      </c>
      <c r="F27" s="124">
        <v>0.22</v>
      </c>
      <c r="G27" s="123">
        <f t="shared" si="7"/>
        <v>4807.5</v>
      </c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ht="15.75" customHeight="1">
      <c r="A28" s="114"/>
      <c r="B28" s="114"/>
      <c r="C28" s="114"/>
      <c r="D28" s="123">
        <f t="shared" si="6"/>
        <v>89076</v>
      </c>
      <c r="E28" s="123">
        <v>170050.0</v>
      </c>
      <c r="F28" s="124">
        <v>0.24</v>
      </c>
      <c r="G28" s="123">
        <f t="shared" si="7"/>
        <v>15213.5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</row>
    <row r="29" ht="15.75" customHeight="1">
      <c r="A29" s="114"/>
      <c r="B29" s="114"/>
      <c r="C29" s="114"/>
      <c r="D29" s="123">
        <f t="shared" si="6"/>
        <v>170051</v>
      </c>
      <c r="E29" s="123">
        <v>215950.0</v>
      </c>
      <c r="F29" s="124">
        <v>0.32</v>
      </c>
      <c r="G29" s="123">
        <f t="shared" si="7"/>
        <v>34647.5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</row>
    <row r="30" ht="15.75" customHeight="1">
      <c r="A30" s="114"/>
      <c r="B30" s="114"/>
      <c r="C30" s="114"/>
      <c r="D30" s="123">
        <f t="shared" si="6"/>
        <v>215951</v>
      </c>
      <c r="E30" s="123">
        <v>539900.0</v>
      </c>
      <c r="F30" s="124">
        <v>0.35</v>
      </c>
      <c r="G30" s="123">
        <f t="shared" si="7"/>
        <v>49335.5</v>
      </c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</row>
    <row r="31" ht="15.75" customHeight="1">
      <c r="A31" s="114"/>
      <c r="B31" s="114"/>
      <c r="C31" s="114"/>
      <c r="D31" s="123">
        <f t="shared" si="6"/>
        <v>539901</v>
      </c>
      <c r="E31" s="123">
        <v>1.0E8</v>
      </c>
      <c r="F31" s="124">
        <v>0.37</v>
      </c>
      <c r="G31" s="123">
        <f t="shared" si="7"/>
        <v>162718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</row>
    <row r="32" ht="15.7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</row>
    <row r="33" ht="15.75" customHeight="1">
      <c r="A33" s="114"/>
      <c r="B33" s="114"/>
      <c r="C33" s="114"/>
      <c r="D33" s="114" t="s">
        <v>195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ht="15.75" customHeight="1">
      <c r="A34" s="114"/>
      <c r="B34" s="114"/>
      <c r="C34" s="114"/>
      <c r="D34" s="123">
        <v>0.0</v>
      </c>
      <c r="E34" s="123">
        <v>14650.0</v>
      </c>
      <c r="F34" s="124">
        <v>0.1</v>
      </c>
      <c r="G34" s="123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ht="15.75" customHeight="1">
      <c r="A35" s="114"/>
      <c r="B35" s="114"/>
      <c r="C35" s="114"/>
      <c r="D35" s="123">
        <f t="shared" ref="D35:D40" si="8">+E34+1</f>
        <v>14651</v>
      </c>
      <c r="E35" s="123">
        <v>55900.0</v>
      </c>
      <c r="F35" s="124">
        <v>0.12</v>
      </c>
      <c r="G35" s="123">
        <f t="shared" ref="G35:G40" si="9">CEILING((E34-D34)*F34+G34,0.5)</f>
        <v>1465</v>
      </c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ht="15.75" customHeight="1">
      <c r="A36" s="114"/>
      <c r="B36" s="114"/>
      <c r="C36" s="114"/>
      <c r="D36" s="123">
        <f t="shared" si="8"/>
        <v>55901</v>
      </c>
      <c r="E36" s="123">
        <v>89050.0</v>
      </c>
      <c r="F36" s="124">
        <v>0.22</v>
      </c>
      <c r="G36" s="123">
        <f t="shared" si="9"/>
        <v>6415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</row>
    <row r="37" ht="15.75" customHeight="1">
      <c r="A37" s="114"/>
      <c r="B37" s="114"/>
      <c r="C37" s="114"/>
      <c r="D37" s="123">
        <f t="shared" si="8"/>
        <v>89051</v>
      </c>
      <c r="E37" s="123">
        <v>170050.0</v>
      </c>
      <c r="F37" s="124">
        <v>0.24</v>
      </c>
      <c r="G37" s="123">
        <f t="shared" si="9"/>
        <v>13708</v>
      </c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</row>
    <row r="38" ht="15.75" customHeight="1">
      <c r="A38" s="114"/>
      <c r="B38" s="114"/>
      <c r="C38" s="114"/>
      <c r="D38" s="123">
        <f t="shared" si="8"/>
        <v>170051</v>
      </c>
      <c r="E38" s="123">
        <v>215950.0</v>
      </c>
      <c r="F38" s="124">
        <v>0.32</v>
      </c>
      <c r="G38" s="123">
        <f t="shared" si="9"/>
        <v>33148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ht="15.75" customHeight="1">
      <c r="A39" s="114"/>
      <c r="B39" s="114"/>
      <c r="C39" s="114"/>
      <c r="D39" s="123">
        <f t="shared" si="8"/>
        <v>215951</v>
      </c>
      <c r="E39" s="123">
        <v>539900.0</v>
      </c>
      <c r="F39" s="124">
        <v>0.35</v>
      </c>
      <c r="G39" s="123">
        <f t="shared" si="9"/>
        <v>47836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</row>
    <row r="40" ht="15.75" customHeight="1">
      <c r="A40" s="114"/>
      <c r="B40" s="114"/>
      <c r="C40" s="114"/>
      <c r="D40" s="123">
        <f t="shared" si="8"/>
        <v>539901</v>
      </c>
      <c r="E40" s="123">
        <v>1.0E8</v>
      </c>
      <c r="F40" s="124">
        <v>0.37</v>
      </c>
      <c r="G40" s="123">
        <f t="shared" si="9"/>
        <v>161218.5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ht="15.75" customHeight="1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ht="15.75" customHeight="1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</row>
    <row r="43" ht="15.75" customHeight="1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</row>
    <row r="44" ht="15.75" customHeigh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</row>
    <row r="45" ht="15.75" customHeight="1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</row>
    <row r="46" ht="15.75" customHeight="1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</row>
    <row r="47" ht="15.75" customHeight="1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ht="15.75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</row>
    <row r="49" ht="15.75" customHeight="1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</row>
    <row r="50" ht="15.75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</row>
    <row r="51" ht="15.75" customHeight="1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</row>
    <row r="52" ht="15.75" customHeight="1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</row>
    <row r="53" ht="15.75" customHeight="1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</row>
    <row r="54" ht="15.75" customHeight="1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</row>
    <row r="55" ht="15.75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</row>
    <row r="56" ht="15.75" customHeight="1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</row>
    <row r="57" ht="15.75" customHeight="1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</row>
    <row r="58" ht="15.75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</row>
    <row r="59" ht="15.75" customHeight="1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</row>
    <row r="60" ht="15.75" customHeight="1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</row>
    <row r="61" ht="15.75" customHeight="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</row>
    <row r="62" ht="15.7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</row>
    <row r="63" ht="15.75" customHeight="1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</row>
    <row r="64" ht="15.75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</row>
    <row r="65" ht="15.75" customHeight="1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</row>
    <row r="66" ht="15.75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</row>
    <row r="67" ht="15.75" customHeight="1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</row>
    <row r="68" ht="15.75" customHeight="1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</row>
    <row r="69" ht="15.75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</row>
    <row r="70" ht="15.75" customHeight="1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</row>
    <row r="71" ht="15.75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</row>
    <row r="72" ht="15.75" customHeight="1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</row>
    <row r="73" ht="15.75" customHeight="1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</row>
    <row r="74" ht="15.75" customHeight="1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</row>
    <row r="75" ht="15.75" customHeight="1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</row>
    <row r="76" ht="15.75" customHeight="1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</row>
    <row r="77" ht="15.75" customHeight="1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</row>
    <row r="78" ht="15.75" customHeight="1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</row>
    <row r="79" ht="15.75" customHeight="1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</row>
    <row r="80" ht="15.75" customHeight="1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</row>
    <row r="81" ht="15.75" customHeight="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</row>
    <row r="82" ht="15.75" customHeight="1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</row>
    <row r="83" ht="15.75" customHeight="1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</row>
    <row r="84" ht="15.75" customHeight="1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</row>
    <row r="85" ht="15.75" customHeight="1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</row>
    <row r="86" ht="15.75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</row>
    <row r="87" ht="15.75" customHeight="1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</row>
    <row r="88" ht="15.75" customHeight="1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</row>
    <row r="89" ht="15.75" customHeight="1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</row>
    <row r="90" ht="15.75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</row>
    <row r="91" ht="15.75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</row>
    <row r="92" ht="15.75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</row>
    <row r="93" ht="15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</row>
    <row r="94" ht="15.75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</row>
    <row r="95" ht="15.75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</row>
    <row r="96" ht="15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</row>
    <row r="97" ht="15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</row>
    <row r="98" ht="15.7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</row>
    <row r="99" ht="15.7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</row>
    <row r="100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</row>
    <row r="101" ht="15.75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</row>
    <row r="102" ht="15.75" customHeight="1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</row>
    <row r="103" ht="15.75" customHeight="1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</row>
    <row r="104" ht="15.75" customHeight="1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</row>
    <row r="105" ht="15.75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</row>
    <row r="106" ht="15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</row>
    <row r="107" ht="15.75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</row>
    <row r="108" ht="15.75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</row>
    <row r="109" ht="15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</row>
    <row r="110" ht="15.75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</row>
    <row r="111" ht="15.75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</row>
    <row r="112" ht="15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</row>
    <row r="113" ht="15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</row>
    <row r="114" ht="15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</row>
    <row r="115" ht="15.75" customHeight="1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</row>
    <row r="116" ht="15.75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</row>
    <row r="117" ht="15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</row>
    <row r="118" ht="15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</row>
    <row r="119" ht="15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</row>
    <row r="120" ht="15.75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</row>
    <row r="121" ht="15.7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</row>
    <row r="122" ht="15.75" customHeight="1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</row>
    <row r="123" ht="15.75" customHeight="1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</row>
    <row r="124" ht="15.75" customHeight="1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</row>
    <row r="125" ht="15.75" customHeight="1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</row>
    <row r="126" ht="15.75" customHeight="1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</row>
    <row r="127" ht="15.75" customHeight="1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</row>
    <row r="128" ht="15.75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</row>
    <row r="129" ht="15.75" customHeight="1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</row>
    <row r="130" ht="15.75" customHeight="1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</row>
    <row r="131" ht="15.75" customHeight="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</row>
    <row r="132" ht="15.75" customHeight="1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</row>
    <row r="133" ht="15.75" customHeight="1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</row>
    <row r="134" ht="15.75" customHeight="1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</row>
    <row r="135" ht="15.75" customHeight="1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</row>
    <row r="136" ht="15.75" customHeight="1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</row>
    <row r="137" ht="15.75" customHeight="1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</row>
    <row r="138" ht="15.75" customHeight="1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</row>
    <row r="139" ht="15.75" customHeight="1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</row>
    <row r="140" ht="15.75" customHeight="1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</row>
    <row r="141" ht="15.75" customHeight="1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</row>
    <row r="142" ht="15.75" customHeight="1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</row>
    <row r="143" ht="15.75" customHeight="1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</row>
    <row r="144" ht="15.75" customHeight="1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</row>
    <row r="145" ht="15.75" customHeight="1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</row>
    <row r="146" ht="15.75" customHeight="1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</row>
    <row r="147" ht="15.75" customHeight="1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</row>
    <row r="148" ht="15.75" customHeight="1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</row>
    <row r="149" ht="15.75" customHeight="1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</row>
    <row r="150" ht="15.75" customHeight="1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</row>
    <row r="151" ht="15.75" customHeight="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</row>
    <row r="152" ht="15.75" customHeight="1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</row>
    <row r="153" ht="15.75" customHeight="1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</row>
    <row r="154" ht="15.75" customHeight="1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</row>
    <row r="155" ht="15.75" customHeight="1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</row>
    <row r="156" ht="15.75" customHeight="1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</row>
    <row r="157" ht="15.75" customHeight="1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</row>
    <row r="158" ht="15.75" customHeight="1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</row>
    <row r="159" ht="15.75" customHeight="1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</row>
    <row r="160" ht="15.75" customHeight="1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</row>
    <row r="161" ht="15.75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</row>
    <row r="162" ht="15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</row>
    <row r="163" ht="15.7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</row>
    <row r="164" ht="15.75" customHeight="1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</row>
    <row r="165" ht="15.75" customHeight="1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</row>
    <row r="166" ht="15.75" customHeight="1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</row>
    <row r="167" ht="15.75" customHeight="1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</row>
    <row r="168" ht="15.75" customHeight="1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</row>
    <row r="169" ht="15.75" customHeight="1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</row>
    <row r="170" ht="15.7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</row>
    <row r="171" ht="15.75" customHeight="1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</row>
    <row r="172" ht="15.75" customHeight="1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</row>
    <row r="173" ht="15.75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</row>
    <row r="174" ht="15.75" customHeight="1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</row>
    <row r="175" ht="15.75" customHeight="1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</row>
    <row r="176" ht="15.75" customHeight="1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</row>
    <row r="177" ht="15.75" customHeight="1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</row>
    <row r="178" ht="15.75" customHeight="1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</row>
    <row r="179" ht="15.75" customHeight="1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</row>
    <row r="180" ht="15.75" customHeight="1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</row>
    <row r="181" ht="15.75" customHeight="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</row>
    <row r="182" ht="15.75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</row>
    <row r="183" ht="15.75" customHeight="1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</row>
    <row r="184" ht="15.75" customHeight="1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</row>
    <row r="185" ht="15.75" customHeight="1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</row>
    <row r="186" ht="15.75" customHeight="1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</row>
    <row r="187" ht="15.75" customHeight="1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</row>
    <row r="188" ht="15.75" customHeight="1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</row>
    <row r="189" ht="15.75" customHeight="1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</row>
    <row r="190" ht="15.75" customHeight="1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</row>
    <row r="191" ht="15.75" customHeight="1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</row>
    <row r="192" ht="15.75" customHeight="1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</row>
    <row r="193" ht="15.75" customHeight="1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</row>
    <row r="194" ht="15.75" customHeight="1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</row>
    <row r="195" ht="15.75" customHeight="1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</row>
    <row r="196" ht="15.75" customHeight="1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</row>
    <row r="197" ht="15.75" customHeight="1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</row>
    <row r="198" ht="15.75" customHeight="1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ht="15.7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</row>
    <row r="200" ht="15.75" customHeight="1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</row>
    <row r="201" ht="15.75" customHeight="1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</row>
    <row r="202" ht="15.75" customHeight="1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</row>
    <row r="203" ht="15.75" customHeight="1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</row>
    <row r="204" ht="15.75" customHeight="1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</row>
    <row r="205" ht="15.75" customHeight="1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</row>
    <row r="206" ht="15.75" customHeight="1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</row>
    <row r="207" ht="15.75" customHeight="1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</row>
    <row r="208" ht="15.75" customHeight="1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</row>
    <row r="209" ht="15.75" customHeight="1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</row>
    <row r="210" ht="15.75" customHeight="1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</row>
    <row r="211" ht="15.75" customHeight="1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</row>
    <row r="212" ht="15.75" customHeight="1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</row>
    <row r="213" ht="15.75" customHeight="1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</row>
    <row r="214" ht="15.75" customHeight="1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</row>
    <row r="215" ht="15.75" customHeight="1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</row>
    <row r="216" ht="15.75" customHeight="1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</row>
    <row r="217" ht="15.75" customHeight="1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</row>
    <row r="218" ht="15.75" customHeight="1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</row>
    <row r="219" ht="15.75" customHeight="1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</row>
    <row r="220" ht="15.75" customHeight="1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</row>
    <row r="221" ht="15.75" customHeight="1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</row>
    <row r="222" ht="15.75" customHeight="1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</row>
    <row r="223" ht="15.75" customHeight="1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</row>
    <row r="224" ht="15.75" customHeight="1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</row>
    <row r="225" ht="15.75" customHeight="1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</row>
    <row r="226" ht="15.75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</row>
    <row r="227" ht="15.75" customHeight="1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</row>
    <row r="228" ht="15.75" customHeight="1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</row>
    <row r="229" ht="15.75" customHeight="1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</row>
    <row r="230" ht="15.75" customHeight="1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</row>
    <row r="231" ht="15.75" customHeight="1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</row>
    <row r="232" ht="15.75" customHeight="1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</row>
    <row r="233" ht="15.75" customHeight="1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</row>
    <row r="234" ht="15.75" customHeight="1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</row>
    <row r="235" ht="15.75" customHeight="1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</row>
    <row r="236" ht="15.75" customHeight="1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</row>
    <row r="237" ht="15.75" customHeight="1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</row>
    <row r="238" ht="15.75" customHeight="1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</row>
    <row r="239" ht="15.75" customHeight="1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</row>
    <row r="240" ht="15.75" customHeight="1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I1:J1"/>
    <mergeCell ref="I9:K9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2" width="13.14"/>
    <col customWidth="1" min="3" max="3" width="22.14"/>
    <col customWidth="1" min="4" max="4" width="29.29"/>
    <col customWidth="1" min="5" max="5" width="19.0"/>
    <col customWidth="1" min="6" max="6" width="16.14"/>
    <col customWidth="1" min="7" max="7" width="27.43"/>
    <col customWidth="1" min="8" max="8" width="13.71"/>
    <col customWidth="1" min="9" max="9" width="20.57"/>
    <col customWidth="1" min="10" max="10" width="9.86"/>
    <col customWidth="1" min="11" max="12" width="12.43"/>
    <col customWidth="1" min="13" max="13" width="20.57"/>
    <col customWidth="1" min="14" max="27" width="12.43"/>
  </cols>
  <sheetData>
    <row r="1" ht="15.75" customHeight="1">
      <c r="A1" s="114"/>
      <c r="B1" s="115">
        <v>2022.0</v>
      </c>
      <c r="C1" s="116"/>
      <c r="D1" s="117" t="s">
        <v>127</v>
      </c>
      <c r="E1" s="118"/>
      <c r="F1" s="118" t="s">
        <v>33</v>
      </c>
      <c r="G1" s="118" t="s">
        <v>176</v>
      </c>
      <c r="H1" s="114">
        <f>IF(M1='Tax Strategies'!$C$1,1,IF(M2='Tax Strategies'!$C$1,2,IF(M3='Tax Strategies'!$C$1,3,0)))</f>
        <v>2</v>
      </c>
      <c r="I1" s="119" t="s">
        <v>177</v>
      </c>
      <c r="K1" s="120">
        <v>0.015</v>
      </c>
      <c r="L1" s="114"/>
      <c r="M1" s="114" t="s">
        <v>178</v>
      </c>
      <c r="N1" s="114">
        <v>1.0</v>
      </c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ht="15.75" customHeight="1">
      <c r="A2" s="121" t="s">
        <v>179</v>
      </c>
      <c r="B2" s="116"/>
      <c r="C2" s="116"/>
      <c r="D2" s="117" t="s">
        <v>180</v>
      </c>
      <c r="E2" s="118" t="s">
        <v>181</v>
      </c>
      <c r="F2" s="121"/>
      <c r="G2" s="121"/>
      <c r="H2" s="121"/>
      <c r="K2" s="114"/>
      <c r="L2" s="114"/>
      <c r="M2" s="114" t="s">
        <v>77</v>
      </c>
      <c r="N2" s="114">
        <v>2.0</v>
      </c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ht="15.75" customHeight="1">
      <c r="A3" s="114" t="s">
        <v>182</v>
      </c>
      <c r="B3" s="122"/>
      <c r="C3" s="116"/>
      <c r="D3" s="123">
        <f>CHOOSE($H$1,Syndications!D15,Syndications!D25,Syndications!D34)</f>
        <v>0</v>
      </c>
      <c r="E3" s="123">
        <f>CHOOSE($H$1,Syndications!E15,Syndications!E25,Syndications!E34)</f>
        <v>10275</v>
      </c>
      <c r="F3" s="124">
        <v>0.1</v>
      </c>
      <c r="G3" s="123"/>
      <c r="H3" s="121"/>
      <c r="M3" s="114" t="s">
        <v>183</v>
      </c>
      <c r="N3" s="114">
        <v>3.0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ht="15.75" customHeight="1">
      <c r="A4" s="121" t="s">
        <v>184</v>
      </c>
      <c r="B4" s="116">
        <f>+'Tax Strategies'!G52+'Tax Strategies'!G66</f>
        <v>-655095</v>
      </c>
      <c r="C4" s="116"/>
      <c r="D4" s="123">
        <f>CHOOSE($H$1,Syndications!D16,Syndications!D26,Syndications!D35)</f>
        <v>10276</v>
      </c>
      <c r="E4" s="123">
        <f>CHOOSE($H$1,Syndications!E16,Syndications!E26,Syndications!E35)</f>
        <v>41775</v>
      </c>
      <c r="F4" s="124">
        <v>0.12</v>
      </c>
      <c r="G4" s="123">
        <f t="shared" ref="G4:G9" si="1">CEILING((E3-D3)*F3+G3,0.5)</f>
        <v>1027.5</v>
      </c>
      <c r="H4" s="121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ht="15.75" customHeight="1">
      <c r="A5" s="125" t="s">
        <v>185</v>
      </c>
      <c r="B5" s="126" t="str">
        <f>VLOOKUP(Syndications!TaxableIncome,Syndications!FederalTaxTable,4)+(Syndications!TaxableIncome-VLOOKUP(Syndications!TaxableIncome,Syndications!FederalTaxTable,1))*VLOOKUP(Syndications!TaxableIncome,Syndications!FederalTaxTable,3)</f>
        <v>#N/A</v>
      </c>
      <c r="C5" s="116"/>
      <c r="D5" s="123">
        <f>CHOOSE($H$1,Syndications!D17,Syndications!D27,Syndications!D36)</f>
        <v>41776</v>
      </c>
      <c r="E5" s="123">
        <f>CHOOSE($H$1,Syndications!E17,Syndications!E27,Syndications!E36)</f>
        <v>89075</v>
      </c>
      <c r="F5" s="124">
        <v>0.22</v>
      </c>
      <c r="G5" s="123">
        <f t="shared" si="1"/>
        <v>4807.5</v>
      </c>
      <c r="H5" s="121"/>
      <c r="K5" s="114"/>
      <c r="L5" s="114"/>
      <c r="M5" s="114" t="s">
        <v>186</v>
      </c>
      <c r="N5" s="114">
        <v>1.0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ht="15.75" customHeight="1">
      <c r="A6" s="121" t="s">
        <v>187</v>
      </c>
      <c r="B6" s="116">
        <f>IF(B2&gt;137700,137700*0.062, B2*0.062)</f>
        <v>0</v>
      </c>
      <c r="C6" s="116"/>
      <c r="D6" s="123">
        <f>CHOOSE($H$1,Syndications!D18,Syndications!D28,Syndications!D37)</f>
        <v>89076</v>
      </c>
      <c r="E6" s="123">
        <f>CHOOSE($H$1,Syndications!E18,Syndications!E28,Syndications!E37)</f>
        <v>170050</v>
      </c>
      <c r="F6" s="124">
        <v>0.24</v>
      </c>
      <c r="G6" s="123">
        <f t="shared" si="1"/>
        <v>15213.5</v>
      </c>
      <c r="H6" s="121"/>
      <c r="J6" s="114"/>
      <c r="K6" s="114"/>
      <c r="L6" s="114"/>
      <c r="M6" s="114" t="s">
        <v>79</v>
      </c>
      <c r="N6" s="114">
        <v>0.0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ht="15.75" customHeight="1">
      <c r="A7" s="121" t="s">
        <v>188</v>
      </c>
      <c r="B7" s="116">
        <f>B2*0.0145</f>
        <v>0</v>
      </c>
      <c r="C7" s="116"/>
      <c r="D7" s="123">
        <f>CHOOSE($H$1,Syndications!D19,Syndications!D29,Syndications!D38)</f>
        <v>170051</v>
      </c>
      <c r="E7" s="123">
        <f>CHOOSE($H$1,Syndications!E19,Syndications!E29,Syndications!E38)</f>
        <v>215950</v>
      </c>
      <c r="F7" s="124">
        <v>0.32</v>
      </c>
      <c r="G7" s="123">
        <f t="shared" si="1"/>
        <v>34647.5</v>
      </c>
      <c r="H7" s="121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ht="15.75" customHeight="1">
      <c r="A8" s="118" t="s">
        <v>189</v>
      </c>
      <c r="B8" s="117" t="str">
        <f>SUM(B5:B7)</f>
        <v>#N/A</v>
      </c>
      <c r="C8" s="116"/>
      <c r="D8" s="123">
        <f>CHOOSE($H$1,Syndications!D20,Syndications!D30,Syndications!D39)</f>
        <v>215951</v>
      </c>
      <c r="E8" s="123">
        <f>CHOOSE($H$1,Syndications!E20,Syndications!E30,Syndications!E39)</f>
        <v>539900</v>
      </c>
      <c r="F8" s="124">
        <v>0.35</v>
      </c>
      <c r="G8" s="123">
        <f t="shared" si="1"/>
        <v>49335.5</v>
      </c>
      <c r="H8" s="121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ht="15.75" customHeight="1">
      <c r="A9" s="114"/>
      <c r="B9" s="114"/>
      <c r="C9" s="114"/>
      <c r="D9" s="123">
        <f>CHOOSE($H$1,Syndications!D21,Syndications!D31,Syndications!D40)</f>
        <v>539901</v>
      </c>
      <c r="E9" s="123">
        <f>CHOOSE($H$1,Syndications!E21,Syndications!E31,Syndications!E40)</f>
        <v>100000000</v>
      </c>
      <c r="F9" s="124">
        <v>0.37</v>
      </c>
      <c r="G9" s="123">
        <f t="shared" si="1"/>
        <v>162718</v>
      </c>
      <c r="H9" s="121"/>
      <c r="I9" s="119" t="s">
        <v>190</v>
      </c>
      <c r="L9" s="119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ht="15.75" customHeight="1">
      <c r="A10" s="114"/>
      <c r="B10" s="114"/>
      <c r="C10" s="114"/>
      <c r="D10" s="114"/>
      <c r="E10" s="114"/>
      <c r="F10" s="114"/>
      <c r="G10" s="114"/>
      <c r="H10" s="114"/>
      <c r="I10" s="38" t="s">
        <v>51</v>
      </c>
      <c r="J10" s="38" t="s">
        <v>191</v>
      </c>
      <c r="K10" s="38" t="s">
        <v>192</v>
      </c>
      <c r="L10" s="38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ht="15.75" customHeight="1">
      <c r="A11" s="127" t="s">
        <v>193</v>
      </c>
      <c r="B11" s="128" t="str">
        <f>100/B4*B5</f>
        <v>#N/A</v>
      </c>
      <c r="C11" s="114"/>
      <c r="D11" s="114"/>
      <c r="E11" s="114"/>
      <c r="F11" s="114"/>
      <c r="G11" s="114"/>
      <c r="H11" s="114"/>
      <c r="I11" s="114">
        <v>2022.0</v>
      </c>
      <c r="J11" s="36">
        <v>147000.0</v>
      </c>
      <c r="K11" s="106">
        <f t="shared" ref="K11:K19" si="2">(J11*0.9235)*0.153</f>
        <v>20770.4385</v>
      </c>
      <c r="L11" s="106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ht="15.75" customHeight="1">
      <c r="A12" s="114"/>
      <c r="B12" s="114"/>
      <c r="C12" s="114"/>
      <c r="D12" s="114"/>
      <c r="E12" s="114"/>
      <c r="F12" s="114"/>
      <c r="G12" s="114"/>
      <c r="H12" s="114"/>
      <c r="I12" s="114">
        <v>2023.0</v>
      </c>
      <c r="J12" s="36">
        <v>160200.0</v>
      </c>
      <c r="K12" s="106">
        <f t="shared" si="2"/>
        <v>22635.5391</v>
      </c>
      <c r="L12" s="106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ht="15.75" customHeight="1">
      <c r="A13" s="114"/>
      <c r="B13" s="114"/>
      <c r="C13" s="114"/>
      <c r="D13" s="114"/>
      <c r="E13" s="114"/>
      <c r="F13" s="114"/>
      <c r="G13" s="114"/>
      <c r="H13" s="114"/>
      <c r="I13" s="114">
        <v>2024.0</v>
      </c>
      <c r="J13" s="129">
        <f t="shared" ref="J13:J19" si="3">+J12*1.03</f>
        <v>165006</v>
      </c>
      <c r="K13" s="106">
        <f t="shared" si="2"/>
        <v>23314.60527</v>
      </c>
      <c r="L13" s="106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ht="15.75" customHeight="1">
      <c r="A14" s="114"/>
      <c r="B14" s="114"/>
      <c r="C14" s="114"/>
      <c r="D14" s="114" t="s">
        <v>194</v>
      </c>
      <c r="E14" s="114"/>
      <c r="F14" s="114"/>
      <c r="G14" s="114"/>
      <c r="H14" s="114"/>
      <c r="I14" s="114">
        <v>2025.0</v>
      </c>
      <c r="J14" s="129">
        <f t="shared" si="3"/>
        <v>169956.18</v>
      </c>
      <c r="K14" s="106">
        <f t="shared" si="2"/>
        <v>24014.04343</v>
      </c>
      <c r="L14" s="106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ht="15.75" customHeight="1">
      <c r="A15" s="114"/>
      <c r="B15" s="114"/>
      <c r="C15" s="114"/>
      <c r="D15" s="123">
        <v>0.0</v>
      </c>
      <c r="E15" s="123">
        <v>20550.0</v>
      </c>
      <c r="F15" s="124">
        <v>0.1</v>
      </c>
      <c r="G15" s="123"/>
      <c r="H15" s="114"/>
      <c r="I15" s="114">
        <v>2026.0</v>
      </c>
      <c r="J15" s="129">
        <f t="shared" si="3"/>
        <v>175054.8654</v>
      </c>
      <c r="K15" s="106">
        <f t="shared" si="2"/>
        <v>24734.46473</v>
      </c>
      <c r="L15" s="106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ht="15.75" customHeight="1">
      <c r="A16" s="114"/>
      <c r="B16" s="114"/>
      <c r="C16" s="114"/>
      <c r="D16" s="123">
        <f t="shared" ref="D16:D21" si="4">+E15+1</f>
        <v>20551</v>
      </c>
      <c r="E16" s="123">
        <v>83550.0</v>
      </c>
      <c r="F16" s="124">
        <v>0.12</v>
      </c>
      <c r="G16" s="123">
        <f t="shared" ref="G16:G21" si="5">CEILING((E15-D15)*F15+G15,0.5)</f>
        <v>2055</v>
      </c>
      <c r="H16" s="114"/>
      <c r="I16" s="114">
        <v>2027.0</v>
      </c>
      <c r="J16" s="129">
        <f t="shared" si="3"/>
        <v>180306.5114</v>
      </c>
      <c r="K16" s="106">
        <f t="shared" si="2"/>
        <v>25476.49868</v>
      </c>
      <c r="L16" s="106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</row>
    <row r="17" ht="15.75" customHeight="1">
      <c r="A17" s="114"/>
      <c r="B17" s="114"/>
      <c r="C17" s="114"/>
      <c r="D17" s="123">
        <f t="shared" si="4"/>
        <v>83551</v>
      </c>
      <c r="E17" s="123">
        <v>178150.0</v>
      </c>
      <c r="F17" s="124">
        <v>0.22</v>
      </c>
      <c r="G17" s="123">
        <f t="shared" si="5"/>
        <v>9615</v>
      </c>
      <c r="H17" s="114"/>
      <c r="I17" s="114">
        <v>2028.0</v>
      </c>
      <c r="J17" s="129">
        <f t="shared" si="3"/>
        <v>185715.7067</v>
      </c>
      <c r="K17" s="106">
        <f t="shared" si="2"/>
        <v>26240.79364</v>
      </c>
      <c r="L17" s="106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</row>
    <row r="18" ht="15.75" customHeight="1">
      <c r="A18" s="114"/>
      <c r="B18" s="114"/>
      <c r="C18" s="114"/>
      <c r="D18" s="123">
        <f t="shared" si="4"/>
        <v>178151</v>
      </c>
      <c r="E18" s="123">
        <v>340100.0</v>
      </c>
      <c r="F18" s="124">
        <v>0.24</v>
      </c>
      <c r="G18" s="123">
        <f t="shared" si="5"/>
        <v>30427</v>
      </c>
      <c r="H18" s="114"/>
      <c r="I18" s="114">
        <v>2029.0</v>
      </c>
      <c r="J18" s="129">
        <f t="shared" si="3"/>
        <v>191287.1779</v>
      </c>
      <c r="K18" s="106">
        <f t="shared" si="2"/>
        <v>27028.01745</v>
      </c>
      <c r="L18" s="106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</row>
    <row r="19" ht="15.75" customHeight="1">
      <c r="A19" s="114"/>
      <c r="B19" s="114"/>
      <c r="C19" s="114"/>
      <c r="D19" s="123">
        <f t="shared" si="4"/>
        <v>340101</v>
      </c>
      <c r="E19" s="123">
        <v>431900.0</v>
      </c>
      <c r="F19" s="124">
        <v>0.32</v>
      </c>
      <c r="G19" s="123">
        <f t="shared" si="5"/>
        <v>69295</v>
      </c>
      <c r="H19" s="114"/>
      <c r="I19" s="114">
        <v>2030.0</v>
      </c>
      <c r="J19" s="129">
        <f t="shared" si="3"/>
        <v>197025.7932</v>
      </c>
      <c r="K19" s="106">
        <f t="shared" si="2"/>
        <v>27838.85797</v>
      </c>
      <c r="L19" s="106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</row>
    <row r="20" ht="15.75" customHeight="1">
      <c r="A20" s="114"/>
      <c r="B20" s="114"/>
      <c r="C20" s="114"/>
      <c r="D20" s="123">
        <f t="shared" si="4"/>
        <v>431901</v>
      </c>
      <c r="E20" s="123">
        <v>647850.0</v>
      </c>
      <c r="F20" s="124">
        <v>0.35</v>
      </c>
      <c r="G20" s="123">
        <f t="shared" si="5"/>
        <v>98671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</row>
    <row r="21" ht="15.75" customHeight="1">
      <c r="A21" s="114"/>
      <c r="B21" s="114"/>
      <c r="C21" s="114"/>
      <c r="D21" s="123">
        <f t="shared" si="4"/>
        <v>647851</v>
      </c>
      <c r="E21" s="123">
        <v>1.0E8</v>
      </c>
      <c r="F21" s="124">
        <v>0.37</v>
      </c>
      <c r="G21" s="123">
        <f t="shared" si="5"/>
        <v>174253.5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</row>
    <row r="22" ht="15.75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</row>
    <row r="23" ht="15.75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ht="15.75" customHeight="1">
      <c r="A24" s="114"/>
      <c r="B24" s="114"/>
      <c r="C24" s="114"/>
      <c r="D24" s="114" t="s">
        <v>77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</row>
    <row r="25" ht="15.75" customHeight="1">
      <c r="A25" s="114"/>
      <c r="B25" s="114"/>
      <c r="C25" s="114"/>
      <c r="D25" s="123">
        <v>0.0</v>
      </c>
      <c r="E25" s="123">
        <v>10275.0</v>
      </c>
      <c r="F25" s="124">
        <v>0.1</v>
      </c>
      <c r="G25" s="123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</row>
    <row r="26" ht="15.75" customHeight="1">
      <c r="A26" s="114"/>
      <c r="B26" s="114"/>
      <c r="C26" s="114"/>
      <c r="D26" s="123">
        <f t="shared" ref="D26:D31" si="6">+E25+1</f>
        <v>10276</v>
      </c>
      <c r="E26" s="123">
        <v>41775.0</v>
      </c>
      <c r="F26" s="124">
        <v>0.12</v>
      </c>
      <c r="G26" s="123">
        <f t="shared" ref="G26:G31" si="7">CEILING((E25-D25)*F25+G25,0.5)</f>
        <v>1027.5</v>
      </c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</row>
    <row r="27" ht="15.75" customHeight="1">
      <c r="A27" s="114"/>
      <c r="B27" s="114"/>
      <c r="C27" s="114"/>
      <c r="D27" s="123">
        <f t="shared" si="6"/>
        <v>41776</v>
      </c>
      <c r="E27" s="123">
        <v>89075.0</v>
      </c>
      <c r="F27" s="124">
        <v>0.22</v>
      </c>
      <c r="G27" s="123">
        <f t="shared" si="7"/>
        <v>4807.5</v>
      </c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ht="15.75" customHeight="1">
      <c r="A28" s="114"/>
      <c r="B28" s="114"/>
      <c r="C28" s="114"/>
      <c r="D28" s="123">
        <f t="shared" si="6"/>
        <v>89076</v>
      </c>
      <c r="E28" s="123">
        <v>170050.0</v>
      </c>
      <c r="F28" s="124">
        <v>0.24</v>
      </c>
      <c r="G28" s="123">
        <f t="shared" si="7"/>
        <v>15213.5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</row>
    <row r="29" ht="15.75" customHeight="1">
      <c r="A29" s="114"/>
      <c r="B29" s="114"/>
      <c r="C29" s="114"/>
      <c r="D29" s="123">
        <f t="shared" si="6"/>
        <v>170051</v>
      </c>
      <c r="E29" s="123">
        <v>215950.0</v>
      </c>
      <c r="F29" s="124">
        <v>0.32</v>
      </c>
      <c r="G29" s="123">
        <f t="shared" si="7"/>
        <v>34647.5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</row>
    <row r="30" ht="15.75" customHeight="1">
      <c r="A30" s="114"/>
      <c r="B30" s="114"/>
      <c r="C30" s="114"/>
      <c r="D30" s="123">
        <f t="shared" si="6"/>
        <v>215951</v>
      </c>
      <c r="E30" s="123">
        <v>539900.0</v>
      </c>
      <c r="F30" s="124">
        <v>0.35</v>
      </c>
      <c r="G30" s="123">
        <f t="shared" si="7"/>
        <v>49335.5</v>
      </c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</row>
    <row r="31" ht="15.75" customHeight="1">
      <c r="A31" s="114"/>
      <c r="B31" s="114"/>
      <c r="C31" s="114"/>
      <c r="D31" s="123">
        <f t="shared" si="6"/>
        <v>539901</v>
      </c>
      <c r="E31" s="123">
        <v>1.0E8</v>
      </c>
      <c r="F31" s="124">
        <v>0.37</v>
      </c>
      <c r="G31" s="123">
        <f t="shared" si="7"/>
        <v>162718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</row>
    <row r="32" ht="15.7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</row>
    <row r="33" ht="15.75" customHeight="1">
      <c r="A33" s="114"/>
      <c r="B33" s="114"/>
      <c r="C33" s="114"/>
      <c r="D33" s="114" t="s">
        <v>195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ht="15.75" customHeight="1">
      <c r="A34" s="114"/>
      <c r="B34" s="114"/>
      <c r="C34" s="114"/>
      <c r="D34" s="123">
        <v>0.0</v>
      </c>
      <c r="E34" s="123">
        <v>14650.0</v>
      </c>
      <c r="F34" s="124">
        <v>0.1</v>
      </c>
      <c r="G34" s="123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ht="15.75" customHeight="1">
      <c r="A35" s="114"/>
      <c r="B35" s="114"/>
      <c r="C35" s="114"/>
      <c r="D35" s="123">
        <f t="shared" ref="D35:D40" si="8">+E34+1</f>
        <v>14651</v>
      </c>
      <c r="E35" s="123">
        <v>55900.0</v>
      </c>
      <c r="F35" s="124">
        <v>0.12</v>
      </c>
      <c r="G35" s="123">
        <f t="shared" ref="G35:G40" si="9">CEILING((E34-D34)*F34+G34,0.5)</f>
        <v>1465</v>
      </c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ht="15.75" customHeight="1">
      <c r="A36" s="114"/>
      <c r="B36" s="114"/>
      <c r="C36" s="114"/>
      <c r="D36" s="123">
        <f t="shared" si="8"/>
        <v>55901</v>
      </c>
      <c r="E36" s="123">
        <v>89050.0</v>
      </c>
      <c r="F36" s="124">
        <v>0.22</v>
      </c>
      <c r="G36" s="123">
        <f t="shared" si="9"/>
        <v>6415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</row>
    <row r="37" ht="15.75" customHeight="1">
      <c r="A37" s="114"/>
      <c r="B37" s="114"/>
      <c r="C37" s="114"/>
      <c r="D37" s="123">
        <f t="shared" si="8"/>
        <v>89051</v>
      </c>
      <c r="E37" s="123">
        <v>170050.0</v>
      </c>
      <c r="F37" s="124">
        <v>0.24</v>
      </c>
      <c r="G37" s="123">
        <f t="shared" si="9"/>
        <v>13708</v>
      </c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</row>
    <row r="38" ht="15.75" customHeight="1">
      <c r="A38" s="114"/>
      <c r="B38" s="114"/>
      <c r="C38" s="114"/>
      <c r="D38" s="123">
        <f t="shared" si="8"/>
        <v>170051</v>
      </c>
      <c r="E38" s="123">
        <v>215950.0</v>
      </c>
      <c r="F38" s="124">
        <v>0.32</v>
      </c>
      <c r="G38" s="123">
        <f t="shared" si="9"/>
        <v>33148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ht="15.75" customHeight="1">
      <c r="A39" s="114"/>
      <c r="B39" s="114"/>
      <c r="C39" s="114"/>
      <c r="D39" s="123">
        <f t="shared" si="8"/>
        <v>215951</v>
      </c>
      <c r="E39" s="123">
        <v>539900.0</v>
      </c>
      <c r="F39" s="124">
        <v>0.35</v>
      </c>
      <c r="G39" s="123">
        <f t="shared" si="9"/>
        <v>47836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</row>
    <row r="40" ht="15.75" customHeight="1">
      <c r="A40" s="114"/>
      <c r="B40" s="114"/>
      <c r="C40" s="114"/>
      <c r="D40" s="123">
        <f t="shared" si="8"/>
        <v>539901</v>
      </c>
      <c r="E40" s="123">
        <v>1.0E8</v>
      </c>
      <c r="F40" s="124">
        <v>0.37</v>
      </c>
      <c r="G40" s="123">
        <f t="shared" si="9"/>
        <v>161218.5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ht="15.75" customHeight="1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ht="15.75" customHeight="1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</row>
    <row r="43" ht="15.75" customHeight="1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</row>
    <row r="44" ht="15.75" customHeigh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</row>
    <row r="45" ht="15.75" customHeight="1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</row>
    <row r="46" ht="15.75" customHeight="1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</row>
    <row r="47" ht="15.75" customHeight="1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ht="15.75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</row>
    <row r="49" ht="15.75" customHeight="1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</row>
    <row r="50" ht="15.75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</row>
    <row r="51" ht="15.75" customHeight="1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</row>
    <row r="52" ht="15.75" customHeight="1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</row>
    <row r="53" ht="15.75" customHeight="1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</row>
    <row r="54" ht="15.75" customHeight="1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</row>
    <row r="55" ht="15.75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</row>
    <row r="56" ht="15.75" customHeight="1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</row>
    <row r="57" ht="15.75" customHeight="1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</row>
    <row r="58" ht="15.75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</row>
    <row r="59" ht="15.75" customHeight="1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</row>
    <row r="60" ht="15.75" customHeight="1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</row>
    <row r="61" ht="15.75" customHeight="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</row>
    <row r="62" ht="15.7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</row>
    <row r="63" ht="15.75" customHeight="1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</row>
    <row r="64" ht="15.75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</row>
    <row r="65" ht="15.75" customHeight="1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</row>
    <row r="66" ht="15.75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</row>
    <row r="67" ht="15.75" customHeight="1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</row>
    <row r="68" ht="15.75" customHeight="1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</row>
    <row r="69" ht="15.75" customHeigh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</row>
    <row r="70" ht="15.75" customHeight="1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</row>
    <row r="71" ht="15.75" customHeight="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</row>
    <row r="72" ht="15.75" customHeight="1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</row>
    <row r="73" ht="15.75" customHeight="1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</row>
    <row r="74" ht="15.75" customHeight="1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</row>
    <row r="75" ht="15.75" customHeight="1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</row>
    <row r="76" ht="15.75" customHeight="1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</row>
    <row r="77" ht="15.75" customHeight="1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</row>
    <row r="78" ht="15.75" customHeight="1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</row>
    <row r="79" ht="15.75" customHeight="1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</row>
    <row r="80" ht="15.75" customHeight="1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</row>
    <row r="81" ht="15.75" customHeight="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</row>
    <row r="82" ht="15.75" customHeight="1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</row>
    <row r="83" ht="15.75" customHeight="1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</row>
    <row r="84" ht="15.75" customHeight="1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</row>
    <row r="85" ht="15.75" customHeight="1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</row>
    <row r="86" ht="15.75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</row>
    <row r="87" ht="15.75" customHeight="1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</row>
    <row r="88" ht="15.75" customHeight="1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</row>
    <row r="89" ht="15.75" customHeight="1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</row>
    <row r="90" ht="15.75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</row>
    <row r="91" ht="15.75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</row>
    <row r="92" ht="15.75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</row>
    <row r="93" ht="15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</row>
    <row r="94" ht="15.75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</row>
    <row r="95" ht="15.75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</row>
    <row r="96" ht="15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</row>
    <row r="97" ht="15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</row>
    <row r="98" ht="15.7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</row>
    <row r="99" ht="15.7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</row>
    <row r="100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</row>
    <row r="101" ht="15.75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</row>
    <row r="102" ht="15.75" customHeight="1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</row>
    <row r="103" ht="15.75" customHeight="1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</row>
    <row r="104" ht="15.75" customHeight="1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</row>
    <row r="105" ht="15.75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</row>
    <row r="106" ht="15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</row>
    <row r="107" ht="15.75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</row>
    <row r="108" ht="15.75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</row>
    <row r="109" ht="15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</row>
    <row r="110" ht="15.75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</row>
    <row r="111" ht="15.75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</row>
    <row r="112" ht="15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</row>
    <row r="113" ht="15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</row>
    <row r="114" ht="15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</row>
    <row r="115" ht="15.75" customHeight="1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</row>
    <row r="116" ht="15.75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</row>
    <row r="117" ht="15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</row>
    <row r="118" ht="15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</row>
    <row r="119" ht="15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</row>
    <row r="120" ht="15.75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</row>
    <row r="121" ht="15.7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</row>
    <row r="122" ht="15.75" customHeight="1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</row>
    <row r="123" ht="15.75" customHeight="1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</row>
    <row r="124" ht="15.75" customHeight="1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</row>
    <row r="125" ht="15.75" customHeight="1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</row>
    <row r="126" ht="15.75" customHeight="1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</row>
    <row r="127" ht="15.75" customHeight="1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</row>
    <row r="128" ht="15.75" customHeigh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</row>
    <row r="129" ht="15.75" customHeight="1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</row>
    <row r="130" ht="15.75" customHeight="1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</row>
    <row r="131" ht="15.75" customHeight="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</row>
    <row r="132" ht="15.75" customHeight="1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</row>
    <row r="133" ht="15.75" customHeight="1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</row>
    <row r="134" ht="15.75" customHeight="1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</row>
    <row r="135" ht="15.75" customHeight="1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</row>
    <row r="136" ht="15.75" customHeight="1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</row>
    <row r="137" ht="15.75" customHeight="1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</row>
    <row r="138" ht="15.75" customHeight="1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</row>
    <row r="139" ht="15.75" customHeight="1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</row>
    <row r="140" ht="15.75" customHeight="1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</row>
    <row r="141" ht="15.75" customHeight="1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</row>
    <row r="142" ht="15.75" customHeight="1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</row>
    <row r="143" ht="15.75" customHeight="1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</row>
    <row r="144" ht="15.75" customHeight="1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</row>
    <row r="145" ht="15.75" customHeight="1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</row>
    <row r="146" ht="15.75" customHeight="1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</row>
    <row r="147" ht="15.75" customHeight="1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</row>
    <row r="148" ht="15.75" customHeight="1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</row>
    <row r="149" ht="15.75" customHeight="1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</row>
    <row r="150" ht="15.75" customHeight="1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</row>
    <row r="151" ht="15.75" customHeight="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</row>
    <row r="152" ht="15.75" customHeight="1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</row>
    <row r="153" ht="15.75" customHeight="1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</row>
    <row r="154" ht="15.75" customHeight="1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</row>
    <row r="155" ht="15.75" customHeight="1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</row>
    <row r="156" ht="15.75" customHeight="1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</row>
    <row r="157" ht="15.75" customHeight="1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</row>
    <row r="158" ht="15.75" customHeight="1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</row>
    <row r="159" ht="15.75" customHeight="1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</row>
    <row r="160" ht="15.75" customHeight="1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</row>
    <row r="161" ht="15.75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</row>
    <row r="162" ht="15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</row>
    <row r="163" ht="15.7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</row>
    <row r="164" ht="15.75" customHeight="1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</row>
    <row r="165" ht="15.75" customHeight="1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</row>
    <row r="166" ht="15.75" customHeight="1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</row>
    <row r="167" ht="15.75" customHeight="1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</row>
    <row r="168" ht="15.75" customHeight="1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</row>
    <row r="169" ht="15.75" customHeight="1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</row>
    <row r="170" ht="15.7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</row>
    <row r="171" ht="15.75" customHeight="1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</row>
    <row r="172" ht="15.75" customHeight="1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</row>
    <row r="173" ht="15.75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</row>
    <row r="174" ht="15.75" customHeight="1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</row>
    <row r="175" ht="15.75" customHeight="1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</row>
    <row r="176" ht="15.75" customHeight="1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</row>
    <row r="177" ht="15.75" customHeight="1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</row>
    <row r="178" ht="15.75" customHeight="1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</row>
    <row r="179" ht="15.75" customHeight="1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</row>
    <row r="180" ht="15.75" customHeight="1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</row>
    <row r="181" ht="15.75" customHeight="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</row>
    <row r="182" ht="15.75" customHeight="1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</row>
    <row r="183" ht="15.75" customHeight="1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</row>
    <row r="184" ht="15.75" customHeight="1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</row>
    <row r="185" ht="15.75" customHeight="1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</row>
    <row r="186" ht="15.75" customHeight="1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</row>
    <row r="187" ht="15.75" customHeight="1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</row>
    <row r="188" ht="15.75" customHeight="1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</row>
    <row r="189" ht="15.75" customHeight="1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</row>
    <row r="190" ht="15.75" customHeight="1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</row>
    <row r="191" ht="15.75" customHeight="1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</row>
    <row r="192" ht="15.75" customHeight="1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</row>
    <row r="193" ht="15.75" customHeight="1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</row>
    <row r="194" ht="15.75" customHeight="1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</row>
    <row r="195" ht="15.75" customHeight="1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</row>
    <row r="196" ht="15.75" customHeight="1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</row>
    <row r="197" ht="15.75" customHeight="1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</row>
    <row r="198" ht="15.75" customHeight="1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ht="15.7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</row>
    <row r="200" ht="15.75" customHeight="1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</row>
    <row r="201" ht="15.75" customHeight="1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</row>
    <row r="202" ht="15.75" customHeight="1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</row>
    <row r="203" ht="15.75" customHeight="1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</row>
    <row r="204" ht="15.75" customHeight="1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</row>
    <row r="205" ht="15.75" customHeight="1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</row>
    <row r="206" ht="15.75" customHeight="1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</row>
    <row r="207" ht="15.75" customHeight="1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</row>
    <row r="208" ht="15.75" customHeight="1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</row>
    <row r="209" ht="15.75" customHeight="1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</row>
    <row r="210" ht="15.75" customHeight="1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</row>
    <row r="211" ht="15.75" customHeight="1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</row>
    <row r="212" ht="15.75" customHeight="1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</row>
    <row r="213" ht="15.75" customHeight="1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</row>
    <row r="214" ht="15.75" customHeight="1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</row>
    <row r="215" ht="15.75" customHeight="1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</row>
    <row r="216" ht="15.75" customHeight="1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</row>
    <row r="217" ht="15.75" customHeight="1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</row>
    <row r="218" ht="15.75" customHeight="1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</row>
    <row r="219" ht="15.75" customHeight="1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</row>
    <row r="220" ht="15.75" customHeight="1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</row>
    <row r="221" ht="15.75" customHeight="1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</row>
    <row r="222" ht="15.75" customHeight="1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</row>
    <row r="223" ht="15.75" customHeight="1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</row>
    <row r="224" ht="15.75" customHeight="1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</row>
    <row r="225" ht="15.75" customHeight="1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</row>
    <row r="226" ht="15.75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</row>
    <row r="227" ht="15.75" customHeight="1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</row>
    <row r="228" ht="15.75" customHeight="1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</row>
    <row r="229" ht="15.75" customHeight="1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</row>
    <row r="230" ht="15.75" customHeight="1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</row>
    <row r="231" ht="15.75" customHeight="1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</row>
    <row r="232" ht="15.75" customHeight="1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</row>
    <row r="233" ht="15.75" customHeight="1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</row>
    <row r="234" ht="15.75" customHeight="1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</row>
    <row r="235" ht="15.75" customHeight="1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</row>
    <row r="236" ht="15.75" customHeight="1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</row>
    <row r="237" ht="15.75" customHeight="1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</row>
    <row r="238" ht="15.75" customHeight="1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</row>
    <row r="239" ht="15.75" customHeight="1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</row>
    <row r="240" ht="15.75" customHeight="1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I1:J1"/>
    <mergeCell ref="I9:K9"/>
  </mergeCells>
  <printOptions/>
  <pageMargins bottom="0.75" footer="0.0" header="0.0" left="0.7" right="0.7" top="0.75"/>
  <pageSetup orientation="portrait"/>
  <drawing r:id="rId1"/>
</worksheet>
</file>